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  <sheet name="Rozpočet - práce" sheetId="3" r:id="rId3"/>
    <sheet name="Rozpočet - materiál" sheetId="4" r:id="rId4"/>
  </sheets>
  <definedNames/>
  <calcPr fullCalcOnLoad="1"/>
</workbook>
</file>

<file path=xl/sharedStrings.xml><?xml version="1.0" encoding="utf-8"?>
<sst xmlns="http://schemas.openxmlformats.org/spreadsheetml/2006/main" count="2557" uniqueCount="403">
  <si>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</si>
  <si>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</si>
  <si>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</si>
  <si>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</si>
  <si>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</si>
  <si>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</si>
  <si>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</si>
  <si>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</si>
  <si>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</si>
  <si>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</si>
  <si>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</si>
  <si>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</si>
  <si>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</si>
  <si>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</si>
  <si>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</si>
  <si>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</si>
  <si>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</si>
  <si>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</si>
  <si>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</si>
  <si>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</si>
  <si>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</si>
  <si>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</si>
  <si>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</si>
  <si>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</si>
  <si>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Zhotovení DSPS</t>
  </si>
  <si>
    <t>DN celkem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</si>
  <si>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</si>
  <si>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</si>
  <si>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</si>
  <si>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</si>
  <si>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</si>
  <si>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</si>
  <si>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</si>
  <si>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</si>
  <si>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</si>
  <si>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</si>
  <si>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</si>
  <si>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</si>
  <si>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</si>
  <si>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</si>
  <si>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</si>
  <si>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</si>
  <si>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</si>
  <si>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</si>
  <si>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</si>
  <si>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</si>
  <si>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</si>
  <si>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</si>
  <si>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</si>
  <si>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</si>
  <si>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</si>
  <si>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72048972/CZ72048972</t>
  </si>
  <si>
    <t>67611591/CZ7303074053</t>
  </si>
  <si>
    <t>106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</si>
  <si>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</si>
  <si>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</si>
  <si>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</si>
  <si>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</si>
  <si>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</si>
  <si>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</si>
  <si>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</si>
  <si>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</si>
  <si>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</si>
  <si>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</si>
  <si>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</si>
  <si>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</si>
  <si>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</si>
  <si>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</si>
  <si>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</si>
  <si>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</si>
  <si>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</si>
  <si>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</si>
  <si>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</si>
  <si>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</si>
  <si>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</si>
  <si>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</si>
  <si>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</si>
  <si>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</si>
  <si>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</si>
  <si>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</si>
  <si>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</si>
  <si>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</si>
  <si>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</si>
  <si>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</si>
  <si>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</si>
  <si>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</si>
  <si>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</si>
  <si>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</si>
  <si>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</si>
  <si>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</si>
  <si>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</si>
  <si>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</si>
  <si>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</si>
  <si>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</si>
  <si>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</si>
  <si>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</si>
  <si>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</si>
  <si>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</si>
  <si>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</si>
  <si>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</si>
  <si>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</si>
  <si>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</si>
  <si>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</si>
  <si>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</si>
  <si>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</si>
  <si>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</si>
  <si>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</si>
  <si>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</si>
  <si>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</si>
  <si>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</si>
  <si>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</si>
  <si>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</si>
  <si>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</si>
  <si>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</si>
  <si>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</si>
  <si>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</si>
  <si>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</si>
  <si>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</si>
  <si>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</si>
  <si>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</si>
  <si>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</si>
  <si>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</si>
  <si>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</si>
  <si>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</si>
  <si>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</si>
  <si>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</si>
  <si>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</si>
  <si>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</si>
  <si>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</si>
  <si>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</si>
  <si>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</si>
  <si>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</si>
  <si>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</si>
  <si>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</si>
  <si>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</si>
  <si>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</si>
  <si>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</si>
  <si>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</si>
  <si>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</si>
  <si>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</si>
  <si>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</si>
  <si>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</si>
  <si>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</si>
  <si>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</si>
  <si>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</si>
  <si>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</si>
  <si>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</si>
  <si>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</si>
  <si>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</si>
  <si>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</si>
  <si>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</si>
  <si>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</si>
  <si>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</si>
  <si>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</si>
  <si>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</si>
  <si>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</si>
  <si>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</si>
  <si>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</si>
  <si>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</si>
  <si>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</si>
  <si>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</si>
  <si>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</si>
  <si>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Kód</t>
  </si>
  <si>
    <t>112101101R</t>
  </si>
  <si>
    <t>112101102R</t>
  </si>
  <si>
    <t>112101103R</t>
  </si>
  <si>
    <t>112101104R</t>
  </si>
  <si>
    <t>112101105R</t>
  </si>
  <si>
    <t>112101106R</t>
  </si>
  <si>
    <t>112101107R</t>
  </si>
  <si>
    <t>112101108R</t>
  </si>
  <si>
    <t>112101111R</t>
  </si>
  <si>
    <t>112101112R</t>
  </si>
  <si>
    <t>112101113R</t>
  </si>
  <si>
    <t>112101114R</t>
  </si>
  <si>
    <t>112101115R</t>
  </si>
  <si>
    <t>112101116R</t>
  </si>
  <si>
    <t>112101117R</t>
  </si>
  <si>
    <t>111251119R00</t>
  </si>
  <si>
    <t>111203111R00</t>
  </si>
  <si>
    <t>112101109R</t>
  </si>
  <si>
    <t>112101110R</t>
  </si>
  <si>
    <t>111212121R00</t>
  </si>
  <si>
    <t>184VD</t>
  </si>
  <si>
    <t>184801R</t>
  </si>
  <si>
    <t>184802R</t>
  </si>
  <si>
    <t>184803R</t>
  </si>
  <si>
    <t>184804R</t>
  </si>
  <si>
    <t>184805R</t>
  </si>
  <si>
    <t>184806R</t>
  </si>
  <si>
    <t>184807R</t>
  </si>
  <si>
    <t>184812R</t>
  </si>
  <si>
    <t>184813R</t>
  </si>
  <si>
    <t>184814R</t>
  </si>
  <si>
    <t>184815R</t>
  </si>
  <si>
    <t>184816R</t>
  </si>
  <si>
    <t>184817R</t>
  </si>
  <si>
    <t>111</t>
  </si>
  <si>
    <t>111_300VD</t>
  </si>
  <si>
    <t>183101114R00</t>
  </si>
  <si>
    <t>184102112R00</t>
  </si>
  <si>
    <t>184215411VD</t>
  </si>
  <si>
    <t>184202111R00</t>
  </si>
  <si>
    <t>184804112R00</t>
  </si>
  <si>
    <t>185851111R00</t>
  </si>
  <si>
    <t>H23</t>
  </si>
  <si>
    <t>998231311R00</t>
  </si>
  <si>
    <t>111_16VD</t>
  </si>
  <si>
    <t>111_21VD</t>
  </si>
  <si>
    <t>1113VD</t>
  </si>
  <si>
    <t>1114VD</t>
  </si>
  <si>
    <t>1112VD</t>
  </si>
  <si>
    <t>08231320</t>
  </si>
  <si>
    <t>111_34VD</t>
  </si>
  <si>
    <t>184102113R00</t>
  </si>
  <si>
    <t>183403114R00</t>
  </si>
  <si>
    <t>183403152R00</t>
  </si>
  <si>
    <t>183403151R00</t>
  </si>
  <si>
    <t>183403161R00</t>
  </si>
  <si>
    <t>180401211R00</t>
  </si>
  <si>
    <t>111116VD</t>
  </si>
  <si>
    <t>185804312R00</t>
  </si>
  <si>
    <t>003VD</t>
  </si>
  <si>
    <t>1818569R</t>
  </si>
  <si>
    <t>002VD</t>
  </si>
  <si>
    <t>Revitalizace krajinářského parku Mošnice v Kladrubech nad Labem - podpora biodiverzity</t>
  </si>
  <si>
    <t>Kácení stromů, odstr. keřů, návrh pěstebních opatření, výsadby dřevin, výsev trávníku</t>
  </si>
  <si>
    <t>Kladruby nad Labem</t>
  </si>
  <si>
    <t>Zkrácený popis</t>
  </si>
  <si>
    <t>Rozměry</t>
  </si>
  <si>
    <t>Kácení stromů v porostech</t>
  </si>
  <si>
    <t>Přípravné a přidružené práce</t>
  </si>
  <si>
    <t>Kácení stromů listnatých volné - průměr kmene na řezné ploše pařezu 11 - 20 cm (včetně rozřezání, vod. přemístění a složení na hromady)</t>
  </si>
  <si>
    <t>Kácení stromů listnatých volné - průměr kmene na řezné ploše pařezu 21 - 30 cm (včetně rozřezání, vod. přemístění a složení na hromady)</t>
  </si>
  <si>
    <t>Kácení stromů listnatých volné - průměr kmene na řezné ploše pařezu 31 - 40 cm (včetně rozřezání, vod. přemístění a složení na hromady)</t>
  </si>
  <si>
    <t>Kácení stromů listnatých volné - průměr kmene na řezné ploše pařezu 41 - 50 cm (včetně rozřezání, vod. přemístění a složení na hromady)</t>
  </si>
  <si>
    <t>Kácení stromů listnatých volné - průměr kmene na řezné ploše pařezu 51 - 60 cm (včetně rozřezání, vod. přemístění a složení na hromady)</t>
  </si>
  <si>
    <t>Kácení stromů listnatých volné - průměr kmene na řezné ploše pařezu 61 - 70 cm (včetně rozřezání, vod. přemístění a složení na hromady-loggery)</t>
  </si>
  <si>
    <t>Kácení stromů listnatých volné - průměr kmene na řezné ploše pařezu 71 - 80 cm (včetně rozřezání, vod. přemístění a složení na hromady-loggery)</t>
  </si>
  <si>
    <t>Kácení stromů listnatých volné - průměr kmene na řezné ploše pařezu 81 - 90 cm (včetně rozřezání, vod. přemístění a složení na hromady-loggery)</t>
  </si>
  <si>
    <t>Kácení stromů jehličnatých volné - průměr kmene na řezné ploše pařezu 11 - 20 cm (včetně rozřezání, vod. přemístění a složení na hromady)</t>
  </si>
  <si>
    <t>Kácení stromů jehličnatých volné - průměr kmene na řezné ploše pařezu 21 - 30 cm (včetně rozřezání, vod. přemístění a složení na hromady)</t>
  </si>
  <si>
    <t>Kácení stromů jehličnatých volné - průměr kmene na řezné ploše pařezu 31 - 40 cm (včetně rozřezání, vod. přemístění a složení na hromady)</t>
  </si>
  <si>
    <t>Kácení stromů jehličnatých volné - průměr kmene na řezné ploše pařezu 41 - 50 cm (včetně rozřezání, vod. přemístění a složení na hromady)</t>
  </si>
  <si>
    <t>Kácení stromů jehličnatých volné - průměr kmene na řezné ploše pařezu 51 - 60 cm (včetně rozřezání, vod. přemístění a složení na hromady)</t>
  </si>
  <si>
    <t>Kácení stromů jehličnatých volné - průměr kmene na řezné ploše pařezu 61 - 70 cm (včetně rozřezání, vod. přemístění a složení na hromady)</t>
  </si>
  <si>
    <t>Kácení stromů jehličnatých volné - průměr kmene na řezné ploše pařezu 71 - 80 cm (včetně rozřezání, vod. přemístění a složení na hromady)</t>
  </si>
  <si>
    <t>Drcení ořezaných větví listnatých stromů, vč. přesunu na mulčované plochy výsadeb, příp. deponie</t>
  </si>
  <si>
    <t>Odstranění pařezů jehličnatých stromů odfrézováním do hloubky 20 cm, vč. odstranění vyfrézované dřevní hmoty, vč. zásypu jam a zeminy</t>
  </si>
  <si>
    <t>Kácení solitérních stromů</t>
  </si>
  <si>
    <t>Kácení stromů listnatých volné - průměr kmene na řezné ploše pařezu 91 - 100 cm (včetně rozřezání, vod. přemístění a složení na hromady-loggery)</t>
  </si>
  <si>
    <t>Kácení stromů listnatých volné - průměr kmene na řezné ploše pařezu nad 100 cm (včetně rozřezání, vod. přemístění a složení na hromady-loggery)</t>
  </si>
  <si>
    <t>Odstranění keřů v porostech</t>
  </si>
  <si>
    <t>Odstranění dřevin výš.nad 1m, svah 1:5, bez pařezu, vč. vytahání, složení na hromady a nátěru pařízků herbicidem</t>
  </si>
  <si>
    <t>Drcení ořezaných větví, vč. přesunu na mulčované plochy výsadeb, příp. deponie</t>
  </si>
  <si>
    <t>Odstranění skupin keřů</t>
  </si>
  <si>
    <t>Drcení křovin, vč. přesunu na mulčované plochy výsadeb, příp. deponie</t>
  </si>
  <si>
    <t>Ošetření stávajících solitérních stromů</t>
  </si>
  <si>
    <t>Řez stromů</t>
  </si>
  <si>
    <t>Zdravotní řez - plocha stromu pod 50 m2 (včetně rozřezání, vodorovného přemístění pro likvidaci či odvoz a složení na hromady do 20 m od místa zásahu)</t>
  </si>
  <si>
    <t>Zdravotní řez - plocha stromu 51 - 100 m2 (včetně rozřezání, vodorov. přemístění pro likvidaci či odvoz a složení na hromady do 20 m od místa zásahu)</t>
  </si>
  <si>
    <t>Zdravotní řez - plocha stromu 101 - 200 m2 (včetně rozřezání, vodorov. přemístění pro likvidaci či odvoz a složení na hromady do 20 m od místa zásahu)</t>
  </si>
  <si>
    <t>Zdravotní řez - plocha stromu 201 - 300 m2 (včetně rozřezání, vodorov. přemístění pro likvidaci či odvoz a složení na hromady do 20 m od místa zásahu)</t>
  </si>
  <si>
    <t>Zdravotní řez - plocha stromu 301 - 400 m2 (včetně rozřezání, vodorov. přemístění pro likvidaci či odvoz a složení na hromady do 20 m od místa zásahu)</t>
  </si>
  <si>
    <t>Zdravotní řez - plocha stromu 401 - 500 m2 (včetně rozřezání, vodorov. přemístění pro likvidaci či odvoz a složení na hromady do 20 m od místa zásahu)</t>
  </si>
  <si>
    <t>Zdravotní řez - plocha stromu 501 - 600 m2 (včetně rozřezání, vodorov. přemístění pro likvidaci či odvoz a složení na hromady do 20 m od místa zásahu)</t>
  </si>
  <si>
    <t>Bezpečnostní řez - plocha stromu 51 - 100 m2 (včetně rozřezání, vodor. přemístění pro likvidaci či odvoz a složení na hromady do 20 m od místa zásahu)</t>
  </si>
  <si>
    <t>Bezpečnostní řez - plocha stromu 101 - 200 m2 (včetně rozřezání, vodor. přemístění pro likvidaci či odvoz a složení na hromady do 20 m od místa zásahu</t>
  </si>
  <si>
    <t>Bezpečnostní řez - plocha stromu 201 - 300 m2 (včetně rozřezání, vodor.přemístění pro likvidaci či odvoz a složení na hromady do 20 m od místa zásahu)</t>
  </si>
  <si>
    <t>Bezpečnostní řez - plocha stromu 301 - 400 m2 (včetně rozřezání, vodor.přemístění pro likvidaci či odvoz a složení na hromady do 20 m od místa zásahu)</t>
  </si>
  <si>
    <t>Bezpečnostní řez - plocha stromu 401 - 500 m2 (včetně rozřezání, vodor.přemístění pro likvidaci či odvoz a složení na hromady do 20 m od místa zásahu)</t>
  </si>
  <si>
    <t>Bezpečnostní řez - plocha stromu 501 - 600 m2 (včetně rozřezání, vodor.přemístění pro likvidaci či odvoz a složení na hromady do 20 m od místa zásahu)</t>
  </si>
  <si>
    <t>Bezpečnostní řez - plocha stromu nad 600 m2 (včetně rozřezání, vodor.přemístění pro likvidaci či odvoz a složení na hromady do 20 m od místa zásahu)</t>
  </si>
  <si>
    <t>Výsadba stromů vel. 8/10</t>
  </si>
  <si>
    <t>Pěstební opatření</t>
  </si>
  <si>
    <t>Vytýčení výsadeb</t>
  </si>
  <si>
    <t>Povrchové úpravy terénu</t>
  </si>
  <si>
    <t>Hloub. jamek bez výměny půdy do 0,125 m3, sv.1:5</t>
  </si>
  <si>
    <t>Výsadba dřevin s balem D do 30 cm, v rovině</t>
  </si>
  <si>
    <t>Zhotovení závlahové mísy o průměru kmene do 0,5m (mocnost mulče 10 cm) - použití štěpky z kácených listnatých stromů</t>
  </si>
  <si>
    <t>Ukotvení dřeviny kůly D do 10 cm, dl. 2 m</t>
  </si>
  <si>
    <t>Ochrana dřevin před okusem z drát.pletiva v rovině</t>
  </si>
  <si>
    <t>Dovoz vody pro zálivku rostlin do 6 km</t>
  </si>
  <si>
    <t>Plochy a úpravy území</t>
  </si>
  <si>
    <t>Přesun hmot pro sadovnické a krajin. úpravy do 5km</t>
  </si>
  <si>
    <t>Zásobní tabletové hnojivo (tabl.12x10g/strom), vč. aplikace</t>
  </si>
  <si>
    <t>Pozinkované pletivo, výška 150 cm, oko 50 mm, balení 25m, 3x40 cm + překryv = 1,5 m/strom</t>
  </si>
  <si>
    <t>Kůl (průměr 6cm, frézovaný s fazetou a špicí, impregnovaný, 2 m, 3 ks/1strom)</t>
  </si>
  <si>
    <t>Příčka z půlené frézované kulatiny pr. 9cm, délka 60cm, 3ks/1strom</t>
  </si>
  <si>
    <t>Popruh-úvazek, 3 ks k jednomu stromu</t>
  </si>
  <si>
    <t>Voda pro zálivku (2 x 40 l/strom)</t>
  </si>
  <si>
    <t>Quercus robur, 8/10, ZB</t>
  </si>
  <si>
    <t>Výsadba stromů vel. 10/12</t>
  </si>
  <si>
    <t>Výsadba dřevin s balem D do 40 cm, v rovině</t>
  </si>
  <si>
    <t>Ukotvení dřeviny kůly D do 10 cm, dl. do 2 m</t>
  </si>
  <si>
    <t>Kůl (průměr 6cm, frézovaný s fazetou a špicí, impregnovaný, 2 m, 3 ks/1strom</t>
  </si>
  <si>
    <t>Voda pro zálivku (2 x 50 l/strom)</t>
  </si>
  <si>
    <t>Acer campestre, 10/12, ZB</t>
  </si>
  <si>
    <t>Acer platanoides, 10/12, ZB</t>
  </si>
  <si>
    <t>Carpinus betulus, 10/12, ZB</t>
  </si>
  <si>
    <t>Populus x canadensis, 10/12, ZB</t>
  </si>
  <si>
    <t>Prunus avium, 10/12, ZB</t>
  </si>
  <si>
    <t>Tilia cordata, 10/12, ZB</t>
  </si>
  <si>
    <t>Ulmus laevis, 10/12, ZB</t>
  </si>
  <si>
    <t>Založení lučního trávníku</t>
  </si>
  <si>
    <t>Obdělání půdy kultivátorováním v rovině</t>
  </si>
  <si>
    <t>Obdělání půdy vláčením, v rovině</t>
  </si>
  <si>
    <t>Obdělání půdy smykováním, v rovině</t>
  </si>
  <si>
    <t>Obdělání půdy válením, v rovině</t>
  </si>
  <si>
    <t>Založení trávníku lučního výsevem v rovině včetně utažení</t>
  </si>
  <si>
    <t>Osivo pro květnaté mezofilní louky, 1 bal./25 kg směsi; výsevek 10g/m2</t>
  </si>
  <si>
    <t>Následná péče o výsadby - jednotl. stromy - 3 roky</t>
  </si>
  <si>
    <t>Zalití rostlin vodou 25l/ks - sazenice 8/10, 6x/rok  (25 l x 6 x 225 ks = 33750 dm3 = 33,8 m3) x 3 roky</t>
  </si>
  <si>
    <t>Zalití rostlin vodou 50l/ks - sazenice 10/12, 6x/rok  (50 l x 6 x 279 ks = 83700 dm3 = 83,7 m3) x 3 roky</t>
  </si>
  <si>
    <t>Výchovný řez stromů, včetně odvozu a likvidace odpadu 50% vysazovaných stromů v rámci tří let</t>
  </si>
  <si>
    <t>Odstranění výmladků z ponechaných pařezů, (30% z 2553 ks = 766 ks), vč.potření arboricidem a odvozu a likvidace odpadu x 3 roky</t>
  </si>
  <si>
    <t>Kontrola kotvení a  mechan.ochrany proti okusu, znovudorážení kůlů a znovuuvázání dřevin,vč. materiálu k doplnění, 5%, 1x/rok; 25 ks x 3 roky</t>
  </si>
  <si>
    <t>Dovoz vody pro zálivku rostlin do 6 km (33,8 m3 + 83,7 m3 = 117,5 m3) x 3 roky</t>
  </si>
  <si>
    <t>Voda pro zálivku</t>
  </si>
  <si>
    <t>Doba výstavby:</t>
  </si>
  <si>
    <t>Zpracováno dne:</t>
  </si>
  <si>
    <t>15.03.2018</t>
  </si>
  <si>
    <t>MJ</t>
  </si>
  <si>
    <t>kus</t>
  </si>
  <si>
    <t>m3</t>
  </si>
  <si>
    <t>m2</t>
  </si>
  <si>
    <t>bod</t>
  </si>
  <si>
    <t>ks</t>
  </si>
  <si>
    <t>t</t>
  </si>
  <si>
    <t>m</t>
  </si>
  <si>
    <t>kg</t>
  </si>
  <si>
    <t>Množství</t>
  </si>
  <si>
    <t>Cena/MJ</t>
  </si>
  <si>
    <t>(Kč)</t>
  </si>
  <si>
    <t>Národní hřebčín Kladruby nad Labem</t>
  </si>
  <si>
    <t>Ing. Přemysl Krejčiřík, Ph.D.</t>
  </si>
  <si>
    <t> </t>
  </si>
  <si>
    <t>Ing. Martina Zimmermanová</t>
  </si>
  <si>
    <t>Náklady (Kč)</t>
  </si>
  <si>
    <t>Dodávka</t>
  </si>
  <si>
    <t>Celkem:</t>
  </si>
  <si>
    <t>Celkem</t>
  </si>
  <si>
    <t>Cenová</t>
  </si>
  <si>
    <t>soustava</t>
  </si>
  <si>
    <t>RTS I / 2016</t>
  </si>
  <si>
    <t>RTS II / 2016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</si>
  <si>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</si>
  <si>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</si>
  <si>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</si>
  <si>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</si>
  <si>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</si>
  <si>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</si>
  <si>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</si>
  <si>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</si>
  <si>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</si>
  <si>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</si>
  <si>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</si>
  <si>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</si>
  <si>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</si>
  <si>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</si>
  <si>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</si>
  <si>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</si>
  <si>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</si>
  <si>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</si>
  <si>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</si>
  <si>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</t>
  </si>
  <si>
    <t>11_</t>
  </si>
  <si>
    <t>184VD_</t>
  </si>
  <si>
    <t>111_</t>
  </si>
  <si>
    <t>18_</t>
  </si>
  <si>
    <t>H23_</t>
  </si>
  <si>
    <t>Z99999_</t>
  </si>
  <si>
    <t>01_1_</t>
  </si>
  <si>
    <t>02_1_</t>
  </si>
  <si>
    <t>03_1_</t>
  </si>
  <si>
    <t>04_1_</t>
  </si>
  <si>
    <t>05_1_</t>
  </si>
  <si>
    <t>06_1_</t>
  </si>
  <si>
    <t>06_9_</t>
  </si>
  <si>
    <t>06_Z_</t>
  </si>
  <si>
    <t>07_1_</t>
  </si>
  <si>
    <t>07_9_</t>
  </si>
  <si>
    <t>07_Z_</t>
  </si>
  <si>
    <t>08_1_</t>
  </si>
  <si>
    <t>08_9_</t>
  </si>
  <si>
    <t>08_Z_</t>
  </si>
  <si>
    <t>09_1_</t>
  </si>
  <si>
    <t>09_9_</t>
  </si>
  <si>
    <t>09_Z_</t>
  </si>
  <si>
    <t>01_</t>
  </si>
  <si>
    <t>02_</t>
  </si>
  <si>
    <t>03_</t>
  </si>
  <si>
    <t>04_</t>
  </si>
  <si>
    <t>05_</t>
  </si>
  <si>
    <t>06_</t>
  </si>
  <si>
    <t>07_</t>
  </si>
  <si>
    <t>08_</t>
  </si>
  <si>
    <t>09_</t>
  </si>
  <si>
    <t>MAT</t>
  </si>
  <si>
    <t>WORK</t>
  </si>
  <si>
    <t>CELK</t>
  </si>
  <si>
    <t>Slepý stavební rozpočet - práce</t>
  </si>
  <si>
    <t>Slepý stavební rozpočet - materiál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</si>
</sst>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Verdana"/>
      <family val="2"/>
    </font>
    <font>
      <b/>
      <sz val="13"/>
      <color indexed="23"/>
      <name val="Verdana"/>
      <family val="2"/>
    </font>
    <font>
      <b/>
      <sz val="11"/>
      <color indexed="23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0"/>
      <color indexed="23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8"/>
      <color theme="3"/>
      <name val="Calibri Light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5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0" fillId="34" borderId="18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4" fillId="34" borderId="18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9" fontId="13" fillId="36" borderId="21" xfId="0" applyNumberFormat="1" applyFont="1" applyFill="1" applyBorder="1" applyAlignment="1" applyProtection="1">
      <alignment horizontal="left" vertical="center"/>
      <protection/>
    </xf>
    <xf numFmtId="4" fontId="13" fillId="36" borderId="21" xfId="0" applyNumberFormat="1" applyFont="1" applyFill="1" applyBorder="1" applyAlignment="1" applyProtection="1">
      <alignment horizontal="right" vertical="center"/>
      <protection/>
    </xf>
    <xf numFmtId="49" fontId="12" fillId="36" borderId="21" xfId="0" applyNumberFormat="1" applyFont="1" applyFill="1" applyBorder="1" applyAlignment="1" applyProtection="1">
      <alignment horizontal="left" vertical="center"/>
      <protection/>
    </xf>
    <xf numFmtId="4" fontId="12" fillId="36" borderId="21" xfId="0" applyNumberFormat="1" applyFont="1" applyFill="1" applyBorder="1" applyAlignment="1" applyProtection="1">
      <alignment horizontal="right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23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14" fillId="34" borderId="18" xfId="0" applyNumberFormat="1" applyFont="1" applyFill="1" applyBorder="1" applyAlignment="1" applyProtection="1">
      <alignment horizontal="left" vertical="center"/>
      <protection/>
    </xf>
    <xf numFmtId="0" fontId="14" fillId="34" borderId="18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NumberFormat="1" applyFont="1" applyFill="1" applyBorder="1" applyAlignment="1" applyProtection="1">
      <alignment horizontal="left" vertical="center"/>
      <protection/>
    </xf>
    <xf numFmtId="49" fontId="13" fillId="36" borderId="29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36" borderId="29" xfId="0" applyNumberFormat="1" applyFont="1" applyFill="1" applyBorder="1" applyAlignment="1" applyProtection="1">
      <alignment horizontal="left" vertical="center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1" xfId="0" applyNumberFormat="1" applyFont="1" applyFill="1" applyBorder="1" applyAlignment="1" applyProtection="1">
      <alignment horizontal="left" vertical="center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NumberFormat="1" applyFont="1" applyFill="1" applyBorder="1" applyAlignment="1" applyProtection="1">
      <alignment horizontal="left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43" xfId="0" applyNumberFormat="1" applyFont="1" applyFill="1" applyBorder="1" applyAlignment="1" applyProtection="1">
      <alignment horizontal="center"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 locked="0"/>
    </xf>
    <xf numFmtId="49" fontId="10" fillId="34" borderId="18" xfId="0" applyNumberFormat="1" applyFont="1" applyFill="1" applyBorder="1" applyAlignment="1" applyProtection="1">
      <alignment horizontal="left" vertical="center"/>
      <protection locked="0"/>
    </xf>
    <xf numFmtId="4" fontId="14" fillId="34" borderId="18" xfId="0" applyNumberFormat="1" applyFont="1" applyFill="1" applyBorder="1" applyAlignment="1" applyProtection="1">
      <alignment horizontal="right" vertical="center"/>
      <protection locked="0"/>
    </xf>
    <xf numFmtId="49" fontId="14" fillId="34" borderId="18" xfId="0" applyNumberFormat="1" applyFont="1" applyFill="1" applyBorder="1" applyAlignment="1" applyProtection="1">
      <alignment horizontal="right" vertical="center"/>
      <protection locked="0"/>
    </xf>
    <xf numFmtId="49" fontId="11" fillId="35" borderId="0" xfId="0" applyNumberFormat="1" applyFont="1" applyFill="1" applyBorder="1" applyAlignment="1" applyProtection="1">
      <alignment horizontal="left" vertical="center"/>
      <protection locked="0"/>
    </xf>
    <xf numFmtId="4" fontId="15" fillId="35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34" borderId="0" xfId="0" applyNumberFormat="1" applyFont="1" applyFill="1" applyBorder="1" applyAlignment="1" applyProtection="1">
      <alignment horizontal="left" vertical="center"/>
      <protection locked="0"/>
    </xf>
    <xf numFmtId="4" fontId="14" fillId="34" borderId="0" xfId="0" applyNumberFormat="1" applyFont="1" applyFill="1" applyBorder="1" applyAlignment="1" applyProtection="1">
      <alignment horizontal="right" vertical="center"/>
      <protection locked="0"/>
    </xf>
    <xf numFmtId="49" fontId="14" fillId="34" borderId="0" xfId="0" applyNumberFormat="1" applyFont="1" applyFill="1" applyBorder="1" applyAlignment="1" applyProtection="1">
      <alignment horizontal="right" vertical="center"/>
      <protection locked="0"/>
    </xf>
    <xf numFmtId="4" fontId="13" fillId="36" borderId="21" xfId="0" applyNumberFormat="1" applyFont="1" applyFill="1" applyBorder="1" applyAlignment="1" applyProtection="1">
      <alignment horizontal="right" vertical="center"/>
      <protection locked="0"/>
    </xf>
    <xf numFmtId="49" fontId="13" fillId="36" borderId="29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" fontId="12" fillId="36" borderId="21" xfId="0" applyNumberFormat="1" applyFont="1" applyFill="1" applyBorder="1" applyAlignment="1" applyProtection="1">
      <alignment horizontal="right" vertical="center"/>
      <protection locked="0"/>
    </xf>
    <xf numFmtId="49" fontId="12" fillId="36" borderId="29" xfId="0" applyNumberFormat="1" applyFont="1" applyFill="1" applyBorder="1" applyAlignment="1" applyProtection="1">
      <alignment horizontal="right" vertical="center"/>
      <protection locked="0"/>
    </xf>
    <xf numFmtId="4" fontId="13" fillId="0" borderId="10" xfId="0" applyNumberFormat="1" applyFont="1" applyFill="1" applyBorder="1" applyAlignment="1" applyProtection="1">
      <alignment horizontal="right" vertical="center"/>
      <protection locked="0"/>
    </xf>
    <xf numFmtId="49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NumberFormat="1" applyFont="1" applyFill="1" applyBorder="1" applyAlignment="1" applyProtection="1">
      <alignment vertical="center"/>
      <protection locked="0"/>
    </xf>
    <xf numFmtId="49" fontId="9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4" fontId="9" fillId="0" borderId="31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left" vertical="center"/>
      <protection locked="0"/>
    </xf>
    <xf numFmtId="49" fontId="1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46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32" xfId="0" applyNumberFormat="1" applyFont="1" applyFill="1" applyBorder="1" applyAlignment="1" applyProtection="1">
      <alignment vertical="center"/>
      <protection locked="0"/>
    </xf>
    <xf numFmtId="0" fontId="1" fillId="0" borderId="30" xfId="0" applyNumberFormat="1" applyFont="1" applyFill="1" applyBorder="1" applyAlignment="1" applyProtection="1">
      <alignment vertical="center"/>
      <protection locked="0"/>
    </xf>
    <xf numFmtId="0" fontId="1" fillId="0" borderId="47" xfId="0" applyNumberFormat="1" applyFont="1" applyFill="1" applyBorder="1" applyAlignment="1" applyProtection="1">
      <alignment vertical="center"/>
      <protection locked="0"/>
    </xf>
    <xf numFmtId="49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NumberFormat="1" applyFont="1" applyFill="1" applyBorder="1" applyAlignment="1" applyProtection="1">
      <alignment horizontal="left" vertical="center"/>
      <protection locked="0"/>
    </xf>
    <xf numFmtId="49" fontId="5" fillId="0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NumberFormat="1" applyFont="1" applyFill="1" applyBorder="1" applyAlignment="1" applyProtection="1">
      <alignment horizontal="left" vertical="center"/>
      <protection locked="0"/>
    </xf>
    <xf numFmtId="49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6FD0FF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9.140625" style="64" customWidth="1"/>
    <col min="2" max="2" width="12.8515625" style="64" customWidth="1"/>
    <col min="3" max="3" width="22.8515625" style="64" customWidth="1"/>
    <col min="4" max="4" width="10.00390625" style="64" customWidth="1"/>
    <col min="5" max="5" width="14.00390625" style="64" customWidth="1"/>
    <col min="6" max="6" width="22.8515625" style="64" customWidth="1"/>
    <col min="7" max="7" width="9.140625" style="64" customWidth="1"/>
    <col min="8" max="8" width="12.8515625" style="64" customWidth="1"/>
    <col min="9" max="9" width="22.8515625" style="64" customWidth="1"/>
    <col min="10" max="16384" width="11.57421875" style="64" customWidth="1"/>
  </cols>
  <sheetData>
    <row r="1" spans="1:9" ht="72.75" customHeight="1">
      <c r="A1" s="121"/>
      <c r="B1" s="122"/>
      <c r="C1" s="123" t="s">
        <v>22</v>
      </c>
      <c r="D1" s="63"/>
      <c r="E1" s="63"/>
      <c r="F1" s="63"/>
      <c r="G1" s="63"/>
      <c r="H1" s="63"/>
      <c r="I1" s="63"/>
    </row>
    <row r="2" spans="1:10" ht="12.75">
      <c r="A2" s="65" t="s">
        <v>0</v>
      </c>
      <c r="B2" s="66"/>
      <c r="C2" s="67" t="str">
        <f>'Stavební rozpočet'!C2</f>
        <v>Revitalizace krajinářského parku Mošnice v Kladrubech nad Labem - podpora biodiverzity</v>
      </c>
      <c r="D2" s="116"/>
      <c r="E2" s="69" t="s">
        <v>29</v>
      </c>
      <c r="F2" s="69" t="str">
        <f>'Stavební rozpočet'!I2</f>
        <v>Národní hřebčín Kladruby nad Labem</v>
      </c>
      <c r="G2" s="66"/>
      <c r="H2" s="69" t="s">
        <v>47</v>
      </c>
      <c r="I2" s="124" t="s">
        <v>51</v>
      </c>
      <c r="J2" s="71"/>
    </row>
    <row r="3" spans="1:10" ht="38.25" customHeight="1">
      <c r="A3" s="72"/>
      <c r="B3" s="73"/>
      <c r="C3" s="74"/>
      <c r="D3" s="74"/>
      <c r="E3" s="73"/>
      <c r="F3" s="73"/>
      <c r="G3" s="73"/>
      <c r="H3" s="73"/>
      <c r="I3" s="75"/>
      <c r="J3" s="71"/>
    </row>
    <row r="4" spans="1:10" ht="12.75">
      <c r="A4" s="76" t="s">
        <v>1</v>
      </c>
      <c r="B4" s="73"/>
      <c r="C4" s="77" t="str">
        <f>'Stavební rozpočet'!C4</f>
        <v>Kácení stromů, odstr. keřů, návrh pěstebních opatření, výsadby dřevin, výsev trávníku</v>
      </c>
      <c r="D4" s="73"/>
      <c r="E4" s="77" t="s">
        <v>30</v>
      </c>
      <c r="F4" s="77" t="str">
        <f>'Stavební rozpočet'!I4</f>
        <v>Ing. Přemysl Krejčiřík, Ph.D.</v>
      </c>
      <c r="G4" s="73"/>
      <c r="H4" s="77" t="s">
        <v>47</v>
      </c>
      <c r="I4" s="125" t="s">
        <v>52</v>
      </c>
      <c r="J4" s="71"/>
    </row>
    <row r="5" spans="1:10" ht="24.75" customHeight="1">
      <c r="A5" s="72"/>
      <c r="B5" s="73"/>
      <c r="C5" s="73"/>
      <c r="D5" s="73"/>
      <c r="E5" s="73"/>
      <c r="F5" s="73"/>
      <c r="G5" s="73"/>
      <c r="H5" s="73"/>
      <c r="I5" s="75"/>
      <c r="J5" s="71"/>
    </row>
    <row r="6" spans="1:10" ht="12.75">
      <c r="A6" s="76" t="s">
        <v>2</v>
      </c>
      <c r="B6" s="73"/>
      <c r="C6" s="77" t="str">
        <f>'Stavební rozpočet'!C6</f>
        <v>Kladruby nad Labem</v>
      </c>
      <c r="D6" s="73"/>
      <c r="E6" s="77" t="s">
        <v>31</v>
      </c>
      <c r="F6" s="77" t="str">
        <f>'Stavební rozpočet'!I6</f>
        <v> </v>
      </c>
      <c r="G6" s="73"/>
      <c r="H6" s="77" t="s">
        <v>47</v>
      </c>
      <c r="I6" s="125"/>
      <c r="J6" s="71"/>
    </row>
    <row r="7" spans="1:10" ht="12.75" customHeight="1">
      <c r="A7" s="72"/>
      <c r="B7" s="73"/>
      <c r="C7" s="73"/>
      <c r="D7" s="73"/>
      <c r="E7" s="73"/>
      <c r="F7" s="73"/>
      <c r="G7" s="73"/>
      <c r="H7" s="73"/>
      <c r="I7" s="75"/>
      <c r="J7" s="71"/>
    </row>
    <row r="8" spans="1:10" ht="12.75">
      <c r="A8" s="76" t="s">
        <v>3</v>
      </c>
      <c r="B8" s="73"/>
      <c r="C8" s="77" t="str">
        <f>'Stavební rozpočet'!F4</f>
        <v> </v>
      </c>
      <c r="D8" s="73"/>
      <c r="E8" s="77" t="s">
        <v>32</v>
      </c>
      <c r="F8" s="77" t="str">
        <f>'Stavební rozpočet'!F6</f>
        <v> </v>
      </c>
      <c r="G8" s="73"/>
      <c r="H8" s="78" t="s">
        <v>48</v>
      </c>
      <c r="I8" s="125" t="s">
        <v>53</v>
      </c>
      <c r="J8" s="71"/>
    </row>
    <row r="9" spans="1:10" ht="12.75">
      <c r="A9" s="72"/>
      <c r="B9" s="73"/>
      <c r="C9" s="73"/>
      <c r="D9" s="73"/>
      <c r="E9" s="73"/>
      <c r="F9" s="73"/>
      <c r="G9" s="73"/>
      <c r="H9" s="73"/>
      <c r="I9" s="75"/>
      <c r="J9" s="71"/>
    </row>
    <row r="10" spans="1:10" ht="12.75">
      <c r="A10" s="76" t="s">
        <v>4</v>
      </c>
      <c r="B10" s="73"/>
      <c r="C10" s="77" t="str">
        <f>'Stavební rozpočet'!C8</f>
        <v> </v>
      </c>
      <c r="D10" s="73"/>
      <c r="E10" s="77" t="s">
        <v>33</v>
      </c>
      <c r="F10" s="77" t="str">
        <f>'Stavební rozpočet'!I8</f>
        <v>Ing. Martina Zimmermanová</v>
      </c>
      <c r="G10" s="73"/>
      <c r="H10" s="78" t="s">
        <v>49</v>
      </c>
      <c r="I10" s="126" t="str">
        <f>'Stavební rozpočet'!F8</f>
        <v>15.03.2018</v>
      </c>
      <c r="J10" s="71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9"/>
      <c r="J11" s="71"/>
    </row>
    <row r="12" spans="1:9" ht="18.75" customHeight="1">
      <c r="A12" s="130" t="s">
        <v>5</v>
      </c>
      <c r="B12" s="131"/>
      <c r="C12" s="131"/>
      <c r="D12" s="131"/>
      <c r="E12" s="131"/>
      <c r="F12" s="131"/>
      <c r="G12" s="131"/>
      <c r="H12" s="131"/>
      <c r="I12" s="131"/>
    </row>
    <row r="13" spans="1:10" ht="26.25" customHeight="1">
      <c r="A13" s="2" t="s">
        <v>6</v>
      </c>
      <c r="B13" s="32" t="s">
        <v>19</v>
      </c>
      <c r="C13" s="33"/>
      <c r="D13" s="132" t="s">
        <v>23</v>
      </c>
      <c r="E13" s="133" t="s">
        <v>34</v>
      </c>
      <c r="F13" s="134"/>
      <c r="G13" s="132" t="s">
        <v>35</v>
      </c>
      <c r="H13" s="133" t="s">
        <v>50</v>
      </c>
      <c r="I13" s="134"/>
      <c r="J13" s="71"/>
    </row>
    <row r="14" spans="1:10" ht="12.75" customHeight="1">
      <c r="A14" s="3" t="s">
        <v>7</v>
      </c>
      <c r="B14" s="5" t="s">
        <v>20</v>
      </c>
      <c r="C14" s="7">
        <f>SUM('Stavební rozpočet'!AB12:AB145)</f>
        <v>0</v>
      </c>
      <c r="D14" s="136" t="s">
        <v>24</v>
      </c>
      <c r="E14" s="137"/>
      <c r="F14" s="135">
        <v>0</v>
      </c>
      <c r="G14" s="136" t="s">
        <v>36</v>
      </c>
      <c r="H14" s="137"/>
      <c r="I14" s="135">
        <v>0</v>
      </c>
      <c r="J14" s="71"/>
    </row>
    <row r="15" spans="1:10" ht="12.75" customHeight="1">
      <c r="A15" s="4"/>
      <c r="B15" s="5" t="s">
        <v>21</v>
      </c>
      <c r="C15" s="7">
        <f>SUM('Stavební rozpočet'!AC12:AC145)</f>
        <v>0</v>
      </c>
      <c r="D15" s="136"/>
      <c r="E15" s="137"/>
      <c r="F15" s="135">
        <v>0</v>
      </c>
      <c r="G15" s="136" t="s">
        <v>37</v>
      </c>
      <c r="H15" s="137"/>
      <c r="I15" s="135">
        <v>0</v>
      </c>
      <c r="J15" s="71"/>
    </row>
    <row r="16" spans="1:10" ht="12.75" customHeight="1">
      <c r="A16" s="3" t="s">
        <v>8</v>
      </c>
      <c r="B16" s="5" t="s">
        <v>20</v>
      </c>
      <c r="C16" s="7">
        <f>SUM('Stavební rozpočet'!AD12:AD145)</f>
        <v>0</v>
      </c>
      <c r="D16" s="136"/>
      <c r="E16" s="137"/>
      <c r="F16" s="135">
        <v>0</v>
      </c>
      <c r="G16" s="136" t="s">
        <v>38</v>
      </c>
      <c r="H16" s="137"/>
      <c r="I16" s="135">
        <v>0</v>
      </c>
      <c r="J16" s="71"/>
    </row>
    <row r="17" spans="1:10" ht="12.75" customHeight="1">
      <c r="A17" s="4"/>
      <c r="B17" s="5" t="s">
        <v>21</v>
      </c>
      <c r="C17" s="7">
        <f>SUM('Stavební rozpočet'!AE12:AE145)</f>
        <v>0</v>
      </c>
      <c r="D17" s="136"/>
      <c r="E17" s="137"/>
      <c r="F17" s="138"/>
      <c r="G17" s="136" t="s">
        <v>39</v>
      </c>
      <c r="H17" s="137"/>
      <c r="I17" s="135">
        <v>0</v>
      </c>
      <c r="J17" s="71"/>
    </row>
    <row r="18" spans="1:10" ht="12.75" customHeight="1">
      <c r="A18" s="3" t="s">
        <v>9</v>
      </c>
      <c r="B18" s="5" t="s">
        <v>20</v>
      </c>
      <c r="C18" s="7">
        <f>SUM('Stavební rozpočet'!AF12:AF145)</f>
        <v>0</v>
      </c>
      <c r="D18" s="136"/>
      <c r="E18" s="137"/>
      <c r="F18" s="138"/>
      <c r="G18" s="136" t="s">
        <v>40</v>
      </c>
      <c r="H18" s="137"/>
      <c r="I18" s="135">
        <v>0</v>
      </c>
      <c r="J18" s="71"/>
    </row>
    <row r="19" spans="1:10" ht="12.75" customHeight="1">
      <c r="A19" s="4"/>
      <c r="B19" s="5" t="s">
        <v>21</v>
      </c>
      <c r="C19" s="7">
        <f>SUM('Stavební rozpočet'!AG12:AG145)</f>
        <v>0</v>
      </c>
      <c r="D19" s="136"/>
      <c r="E19" s="137"/>
      <c r="F19" s="138"/>
      <c r="G19" s="136" t="s">
        <v>41</v>
      </c>
      <c r="H19" s="137"/>
      <c r="I19" s="135">
        <v>0</v>
      </c>
      <c r="J19" s="71"/>
    </row>
    <row r="20" spans="1:10" ht="12.75" customHeight="1">
      <c r="A20" s="34" t="s">
        <v>10</v>
      </c>
      <c r="B20" s="35"/>
      <c r="C20" s="7">
        <f>SUM('Stavební rozpočet'!AH12:AH145)</f>
        <v>0</v>
      </c>
      <c r="D20" s="136"/>
      <c r="E20" s="137"/>
      <c r="F20" s="138"/>
      <c r="G20" s="136"/>
      <c r="H20" s="137"/>
      <c r="I20" s="138"/>
      <c r="J20" s="71"/>
    </row>
    <row r="21" spans="1:10" ht="12.75" customHeight="1">
      <c r="A21" s="34" t="s">
        <v>11</v>
      </c>
      <c r="B21" s="35"/>
      <c r="C21" s="7">
        <f>SUM('Stavební rozpočet'!Z12:Z145)</f>
        <v>0</v>
      </c>
      <c r="D21" s="136"/>
      <c r="E21" s="137"/>
      <c r="F21" s="138"/>
      <c r="G21" s="136"/>
      <c r="H21" s="137"/>
      <c r="I21" s="138"/>
      <c r="J21" s="71"/>
    </row>
    <row r="22" spans="1:10" ht="16.5" customHeight="1">
      <c r="A22" s="34" t="s">
        <v>12</v>
      </c>
      <c r="B22" s="35"/>
      <c r="C22" s="7">
        <f>SUM(C14:C21)</f>
        <v>0</v>
      </c>
      <c r="D22" s="139" t="s">
        <v>25</v>
      </c>
      <c r="E22" s="140"/>
      <c r="F22" s="135">
        <f>SUM(F14:F21)</f>
        <v>0</v>
      </c>
      <c r="G22" s="139" t="s">
        <v>42</v>
      </c>
      <c r="H22" s="140"/>
      <c r="I22" s="135">
        <f>SUM(I14:I21)</f>
        <v>0</v>
      </c>
      <c r="J22" s="71"/>
    </row>
    <row r="23" spans="1:9" ht="12.75" customHeight="1">
      <c r="A23" s="114"/>
      <c r="B23" s="114"/>
      <c r="C23" s="114"/>
      <c r="D23" s="114"/>
      <c r="E23" s="114"/>
      <c r="F23" s="141"/>
      <c r="G23" s="139" t="s">
        <v>43</v>
      </c>
      <c r="H23" s="140"/>
      <c r="I23" s="142"/>
    </row>
    <row r="24" spans="1:8" ht="12.75">
      <c r="A24" s="122"/>
      <c r="B24" s="122"/>
      <c r="C24" s="122"/>
      <c r="G24" s="114"/>
      <c r="H24" s="114"/>
    </row>
    <row r="25" spans="1:9" ht="12.75" customHeight="1">
      <c r="A25" s="36" t="s">
        <v>13</v>
      </c>
      <c r="B25" s="37"/>
      <c r="C25" s="8">
        <f>SUM('Stavební rozpočet'!AJ12:AJ145)</f>
        <v>0</v>
      </c>
      <c r="D25" s="6"/>
      <c r="E25" s="1"/>
      <c r="F25" s="1"/>
      <c r="G25" s="1"/>
      <c r="H25" s="1"/>
      <c r="I25" s="1"/>
    </row>
    <row r="26" spans="1:10" ht="12.75" customHeight="1">
      <c r="A26" s="36" t="s">
        <v>14</v>
      </c>
      <c r="B26" s="37"/>
      <c r="C26" s="8">
        <f>SUM('Stavební rozpočet'!AK12:AK145)</f>
        <v>0</v>
      </c>
      <c r="D26" s="36" t="s">
        <v>26</v>
      </c>
      <c r="E26" s="37"/>
      <c r="F26" s="8">
        <f>ROUND(C26*(15/100),2)</f>
        <v>0</v>
      </c>
      <c r="G26" s="36" t="s">
        <v>44</v>
      </c>
      <c r="H26" s="37"/>
      <c r="I26" s="8">
        <f>SUM(C25:C27)</f>
        <v>0</v>
      </c>
      <c r="J26" s="71"/>
    </row>
    <row r="27" spans="1:10" ht="12.75" customHeight="1">
      <c r="A27" s="36" t="s">
        <v>15</v>
      </c>
      <c r="B27" s="37"/>
      <c r="C27" s="8">
        <f>SUM('Stavební rozpočet'!AL12:AL145)+(F22+I22)</f>
        <v>0</v>
      </c>
      <c r="D27" s="36" t="s">
        <v>27</v>
      </c>
      <c r="E27" s="37"/>
      <c r="F27" s="8">
        <f>ROUND(C27*(21/100),2)</f>
        <v>0</v>
      </c>
      <c r="G27" s="36" t="s">
        <v>45</v>
      </c>
      <c r="H27" s="37"/>
      <c r="I27" s="8">
        <f>SUM(F26:F27)+I26</f>
        <v>0</v>
      </c>
      <c r="J27" s="71"/>
    </row>
    <row r="28" spans="1:9" ht="12.75">
      <c r="A28" s="143"/>
      <c r="B28" s="143"/>
      <c r="C28" s="143"/>
      <c r="D28" s="143"/>
      <c r="E28" s="143"/>
      <c r="F28" s="143"/>
      <c r="G28" s="143"/>
      <c r="H28" s="143"/>
      <c r="I28" s="143"/>
    </row>
    <row r="29" spans="1:10" ht="12.75" customHeight="1">
      <c r="A29" s="144" t="s">
        <v>16</v>
      </c>
      <c r="B29" s="145"/>
      <c r="C29" s="146"/>
      <c r="D29" s="144" t="s">
        <v>28</v>
      </c>
      <c r="E29" s="145"/>
      <c r="F29" s="146"/>
      <c r="G29" s="144" t="s">
        <v>46</v>
      </c>
      <c r="H29" s="145"/>
      <c r="I29" s="146"/>
      <c r="J29" s="87"/>
    </row>
    <row r="30" spans="1:10" ht="12.75" customHeight="1">
      <c r="A30" s="147"/>
      <c r="B30" s="148"/>
      <c r="C30" s="149"/>
      <c r="D30" s="147"/>
      <c r="E30" s="148"/>
      <c r="F30" s="149"/>
      <c r="G30" s="147"/>
      <c r="H30" s="148"/>
      <c r="I30" s="149"/>
      <c r="J30" s="87"/>
    </row>
    <row r="31" spans="1:10" ht="12.75" customHeight="1">
      <c r="A31" s="147"/>
      <c r="B31" s="148"/>
      <c r="C31" s="149"/>
      <c r="D31" s="147"/>
      <c r="E31" s="148"/>
      <c r="F31" s="149"/>
      <c r="G31" s="147"/>
      <c r="H31" s="148"/>
      <c r="I31" s="149"/>
      <c r="J31" s="87"/>
    </row>
    <row r="32" spans="1:10" ht="12.75" customHeight="1">
      <c r="A32" s="147"/>
      <c r="B32" s="148"/>
      <c r="C32" s="149"/>
      <c r="D32" s="147"/>
      <c r="E32" s="148"/>
      <c r="F32" s="149"/>
      <c r="G32" s="147"/>
      <c r="H32" s="148"/>
      <c r="I32" s="149"/>
      <c r="J32" s="87"/>
    </row>
    <row r="33" spans="1:10" ht="12.75" customHeight="1">
      <c r="A33" s="150" t="s">
        <v>17</v>
      </c>
      <c r="B33" s="151"/>
      <c r="C33" s="152"/>
      <c r="D33" s="150" t="s">
        <v>17</v>
      </c>
      <c r="E33" s="151"/>
      <c r="F33" s="152"/>
      <c r="G33" s="150" t="s">
        <v>17</v>
      </c>
      <c r="H33" s="151"/>
      <c r="I33" s="152"/>
      <c r="J33" s="87"/>
    </row>
    <row r="34" spans="1:9" ht="10.5" customHeight="1">
      <c r="A34" s="153" t="s">
        <v>18</v>
      </c>
      <c r="B34" s="154"/>
      <c r="C34" s="154"/>
      <c r="D34" s="154"/>
      <c r="E34" s="154"/>
      <c r="F34" s="154"/>
      <c r="G34" s="154"/>
      <c r="H34" s="154"/>
      <c r="I34" s="154"/>
    </row>
    <row r="35" spans="1:9" ht="12.75" customHeight="1">
      <c r="A35" s="77"/>
      <c r="B35" s="73"/>
      <c r="C35" s="73"/>
      <c r="D35" s="73"/>
      <c r="E35" s="73"/>
      <c r="F35" s="73"/>
      <c r="G35" s="73"/>
      <c r="H35" s="73"/>
      <c r="I35" s="73"/>
    </row>
  </sheetData>
  <sheetProtection password="CC09" sheet="1" objects="1" scenarios="1" selectLockedCells="1"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64" customWidth="1"/>
    <col min="2" max="2" width="14.28125" style="64" customWidth="1"/>
    <col min="3" max="3" width="161.421875" style="64" customWidth="1"/>
    <col min="4" max="5" width="12.140625" style="64" customWidth="1"/>
    <col min="6" max="6" width="4.7109375" style="64" customWidth="1"/>
    <col min="7" max="7" width="12.8515625" style="64" customWidth="1"/>
    <col min="8" max="8" width="12.00390625" style="64" customWidth="1"/>
    <col min="9" max="11" width="14.28125" style="64" customWidth="1"/>
    <col min="12" max="12" width="14.7109375" style="64" customWidth="1"/>
    <col min="13" max="24" width="11.57421875" style="64" customWidth="1"/>
    <col min="25" max="62" width="9.7109375" style="64" hidden="1" customWidth="1"/>
    <col min="63" max="16384" width="11.57421875" style="64" customWidth="1"/>
  </cols>
  <sheetData>
    <row r="1" spans="1:12" ht="72.75" customHeight="1">
      <c r="A1" s="62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5" t="s">
        <v>0</v>
      </c>
      <c r="B2" s="66"/>
      <c r="C2" s="67" t="s">
        <v>225</v>
      </c>
      <c r="D2" s="68" t="s">
        <v>319</v>
      </c>
      <c r="E2" s="66"/>
      <c r="F2" s="68" t="s">
        <v>56</v>
      </c>
      <c r="G2" s="66"/>
      <c r="H2" s="69" t="s">
        <v>29</v>
      </c>
      <c r="I2" s="69" t="s">
        <v>334</v>
      </c>
      <c r="J2" s="66"/>
      <c r="K2" s="66"/>
      <c r="L2" s="70"/>
      <c r="M2" s="71"/>
    </row>
    <row r="3" spans="1:13" ht="12.75">
      <c r="A3" s="72"/>
      <c r="B3" s="73"/>
      <c r="C3" s="74"/>
      <c r="D3" s="73"/>
      <c r="E3" s="73"/>
      <c r="F3" s="73"/>
      <c r="G3" s="73"/>
      <c r="H3" s="73"/>
      <c r="I3" s="73"/>
      <c r="J3" s="73"/>
      <c r="K3" s="73"/>
      <c r="L3" s="75"/>
      <c r="M3" s="71"/>
    </row>
    <row r="4" spans="1:13" ht="12.75">
      <c r="A4" s="76" t="s">
        <v>1</v>
      </c>
      <c r="B4" s="73"/>
      <c r="C4" s="77" t="s">
        <v>226</v>
      </c>
      <c r="D4" s="78" t="s">
        <v>3</v>
      </c>
      <c r="E4" s="73"/>
      <c r="F4" s="78" t="s">
        <v>56</v>
      </c>
      <c r="G4" s="73"/>
      <c r="H4" s="77" t="s">
        <v>30</v>
      </c>
      <c r="I4" s="77" t="s">
        <v>335</v>
      </c>
      <c r="J4" s="73"/>
      <c r="K4" s="73"/>
      <c r="L4" s="75"/>
      <c r="M4" s="71"/>
    </row>
    <row r="5" spans="1:13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5"/>
      <c r="M5" s="71"/>
    </row>
    <row r="6" spans="1:13" ht="12.75">
      <c r="A6" s="76" t="s">
        <v>2</v>
      </c>
      <c r="B6" s="73"/>
      <c r="C6" s="77" t="s">
        <v>227</v>
      </c>
      <c r="D6" s="78" t="s">
        <v>32</v>
      </c>
      <c r="E6" s="73"/>
      <c r="F6" s="78" t="s">
        <v>56</v>
      </c>
      <c r="G6" s="73"/>
      <c r="H6" s="77" t="s">
        <v>31</v>
      </c>
      <c r="I6" s="78" t="s">
        <v>336</v>
      </c>
      <c r="J6" s="73"/>
      <c r="K6" s="73"/>
      <c r="L6" s="75"/>
      <c r="M6" s="71"/>
    </row>
    <row r="7" spans="1:13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5"/>
      <c r="M7" s="71"/>
    </row>
    <row r="8" spans="1:13" ht="12.75">
      <c r="A8" s="76" t="s">
        <v>4</v>
      </c>
      <c r="B8" s="73"/>
      <c r="C8" s="77" t="s">
        <v>56</v>
      </c>
      <c r="D8" s="78" t="s">
        <v>320</v>
      </c>
      <c r="E8" s="73"/>
      <c r="F8" s="78" t="s">
        <v>321</v>
      </c>
      <c r="G8" s="73"/>
      <c r="H8" s="77" t="s">
        <v>33</v>
      </c>
      <c r="I8" s="77" t="s">
        <v>337</v>
      </c>
      <c r="J8" s="73"/>
      <c r="K8" s="73"/>
      <c r="L8" s="75"/>
      <c r="M8" s="71"/>
    </row>
    <row r="9" spans="1:13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71"/>
    </row>
    <row r="10" spans="1:13" ht="12.75">
      <c r="A10" s="9" t="s">
        <v>55</v>
      </c>
      <c r="B10" s="17" t="s">
        <v>162</v>
      </c>
      <c r="C10" s="38" t="s">
        <v>228</v>
      </c>
      <c r="D10" s="39"/>
      <c r="E10" s="40"/>
      <c r="F10" s="17" t="s">
        <v>322</v>
      </c>
      <c r="G10" s="22" t="s">
        <v>331</v>
      </c>
      <c r="H10" s="82" t="s">
        <v>332</v>
      </c>
      <c r="I10" s="83" t="s">
        <v>338</v>
      </c>
      <c r="J10" s="84"/>
      <c r="K10" s="85"/>
      <c r="L10" s="86" t="s">
        <v>342</v>
      </c>
      <c r="M10" s="87"/>
    </row>
    <row r="11" spans="1:62" ht="12.75">
      <c r="A11" s="10" t="s">
        <v>56</v>
      </c>
      <c r="B11" s="18" t="s">
        <v>56</v>
      </c>
      <c r="C11" s="41" t="s">
        <v>229</v>
      </c>
      <c r="D11" s="42"/>
      <c r="E11" s="43"/>
      <c r="F11" s="18" t="s">
        <v>56</v>
      </c>
      <c r="G11" s="18" t="s">
        <v>56</v>
      </c>
      <c r="H11" s="88" t="s">
        <v>333</v>
      </c>
      <c r="I11" s="89" t="s">
        <v>339</v>
      </c>
      <c r="J11" s="90" t="s">
        <v>21</v>
      </c>
      <c r="K11" s="91" t="s">
        <v>341</v>
      </c>
      <c r="L11" s="92" t="s">
        <v>343</v>
      </c>
      <c r="M11" s="87"/>
      <c r="Z11" s="93" t="s">
        <v>347</v>
      </c>
      <c r="AA11" s="93" t="s">
        <v>348</v>
      </c>
      <c r="AB11" s="93" t="s">
        <v>349</v>
      </c>
      <c r="AC11" s="93" t="s">
        <v>350</v>
      </c>
      <c r="AD11" s="93" t="s">
        <v>351</v>
      </c>
      <c r="AE11" s="93" t="s">
        <v>352</v>
      </c>
      <c r="AF11" s="93" t="s">
        <v>353</v>
      </c>
      <c r="AG11" s="93" t="s">
        <v>354</v>
      </c>
      <c r="AH11" s="93" t="s">
        <v>355</v>
      </c>
      <c r="BH11" s="93" t="s">
        <v>398</v>
      </c>
      <c r="BI11" s="93" t="s">
        <v>399</v>
      </c>
      <c r="BJ11" s="93" t="s">
        <v>400</v>
      </c>
    </row>
    <row r="12" spans="1:12" ht="12.75">
      <c r="A12" s="11"/>
      <c r="B12" s="19"/>
      <c r="C12" s="44" t="s">
        <v>230</v>
      </c>
      <c r="D12" s="45"/>
      <c r="E12" s="45"/>
      <c r="F12" s="11" t="s">
        <v>56</v>
      </c>
      <c r="G12" s="11" t="s">
        <v>56</v>
      </c>
      <c r="H12" s="94" t="s">
        <v>56</v>
      </c>
      <c r="I12" s="95">
        <f>I13</f>
        <v>0</v>
      </c>
      <c r="J12" s="95">
        <f>J13</f>
        <v>0</v>
      </c>
      <c r="K12" s="95">
        <f>K13</f>
        <v>0</v>
      </c>
      <c r="L12" s="96"/>
    </row>
    <row r="13" spans="1:47" ht="12.75">
      <c r="A13" s="12"/>
      <c r="B13" s="20" t="s">
        <v>67</v>
      </c>
      <c r="C13" s="46" t="s">
        <v>231</v>
      </c>
      <c r="D13" s="47"/>
      <c r="E13" s="47"/>
      <c r="F13" s="12" t="s">
        <v>56</v>
      </c>
      <c r="G13" s="12" t="s">
        <v>56</v>
      </c>
      <c r="H13" s="97" t="s">
        <v>56</v>
      </c>
      <c r="I13" s="98">
        <f>SUM(I14:I30)</f>
        <v>0</v>
      </c>
      <c r="J13" s="98">
        <f>SUM(J14:J30)</f>
        <v>0</v>
      </c>
      <c r="K13" s="98">
        <f>SUM(K14:K30)</f>
        <v>0</v>
      </c>
      <c r="L13" s="93"/>
      <c r="AI13" s="93" t="s">
        <v>356</v>
      </c>
      <c r="AS13" s="98">
        <f>SUM(AJ14:AJ30)</f>
        <v>0</v>
      </c>
      <c r="AT13" s="98">
        <f>SUM(AK14:AK30)</f>
        <v>0</v>
      </c>
      <c r="AU13" s="98">
        <f>SUM(AL14:AL30)</f>
        <v>0</v>
      </c>
    </row>
    <row r="14" spans="1:62" ht="12.75">
      <c r="A14" s="13" t="s">
        <v>57</v>
      </c>
      <c r="B14" s="13" t="s">
        <v>163</v>
      </c>
      <c r="C14" s="48" t="s">
        <v>232</v>
      </c>
      <c r="D14" s="49"/>
      <c r="E14" s="49"/>
      <c r="F14" s="13" t="s">
        <v>323</v>
      </c>
      <c r="G14" s="23">
        <v>1231</v>
      </c>
      <c r="H14" s="99">
        <v>0</v>
      </c>
      <c r="I14" s="99">
        <f aca="true" t="shared" si="0" ref="I14:I30">G14*AO14</f>
        <v>0</v>
      </c>
      <c r="J14" s="99">
        <f aca="true" t="shared" si="1" ref="J14:J30">G14*AP14</f>
        <v>0</v>
      </c>
      <c r="K14" s="99">
        <f aca="true" t="shared" si="2" ref="K14:K30">G14*H14</f>
        <v>0</v>
      </c>
      <c r="L14" s="100" t="s">
        <v>344</v>
      </c>
      <c r="Z14" s="101">
        <f aca="true" t="shared" si="3" ref="Z14:Z30">IF(AQ14="5",BJ14,0)</f>
        <v>0</v>
      </c>
      <c r="AB14" s="101">
        <f aca="true" t="shared" si="4" ref="AB14:AB30">IF(AQ14="1",BH14,0)</f>
        <v>0</v>
      </c>
      <c r="AC14" s="101">
        <f aca="true" t="shared" si="5" ref="AC14:AC30">IF(AQ14="1",BI14,0)</f>
        <v>0</v>
      </c>
      <c r="AD14" s="101">
        <f aca="true" t="shared" si="6" ref="AD14:AD30">IF(AQ14="7",BH14,0)</f>
        <v>0</v>
      </c>
      <c r="AE14" s="101">
        <f aca="true" t="shared" si="7" ref="AE14:AE30">IF(AQ14="7",BI14,0)</f>
        <v>0</v>
      </c>
      <c r="AF14" s="101">
        <f aca="true" t="shared" si="8" ref="AF14:AF30">IF(AQ14="2",BH14,0)</f>
        <v>0</v>
      </c>
      <c r="AG14" s="101">
        <f aca="true" t="shared" si="9" ref="AG14:AG30">IF(AQ14="2",BI14,0)</f>
        <v>0</v>
      </c>
      <c r="AH14" s="101">
        <f aca="true" t="shared" si="10" ref="AH14:AH30">IF(AQ14="0",BJ14,0)</f>
        <v>0</v>
      </c>
      <c r="AI14" s="93" t="s">
        <v>356</v>
      </c>
      <c r="AJ14" s="99">
        <f aca="true" t="shared" si="11" ref="AJ14:AJ30">IF(AN14=0,K14,0)</f>
        <v>0</v>
      </c>
      <c r="AK14" s="99">
        <f aca="true" t="shared" si="12" ref="AK14:AK30">IF(AN14=15,K14,0)</f>
        <v>0</v>
      </c>
      <c r="AL14" s="99">
        <f aca="true" t="shared" si="13" ref="AL14:AL30">IF(AN14=21,K14,0)</f>
        <v>0</v>
      </c>
      <c r="AN14" s="101">
        <v>21</v>
      </c>
      <c r="AO14" s="101">
        <f aca="true" t="shared" si="14" ref="AO14:AO30">H14*0</f>
        <v>0</v>
      </c>
      <c r="AP14" s="101">
        <f aca="true" t="shared" si="15" ref="AP14:AP30">H14*(1-0)</f>
        <v>0</v>
      </c>
      <c r="AQ14" s="100" t="s">
        <v>57</v>
      </c>
      <c r="AV14" s="101">
        <f aca="true" t="shared" si="16" ref="AV14:AV30">AW14+AX14</f>
        <v>0</v>
      </c>
      <c r="AW14" s="101">
        <f aca="true" t="shared" si="17" ref="AW14:AW30">G14*AO14</f>
        <v>0</v>
      </c>
      <c r="AX14" s="101">
        <f aca="true" t="shared" si="18" ref="AX14:AX30">G14*AP14</f>
        <v>0</v>
      </c>
      <c r="AY14" s="102" t="s">
        <v>366</v>
      </c>
      <c r="AZ14" s="102" t="s">
        <v>372</v>
      </c>
      <c r="BA14" s="93" t="s">
        <v>389</v>
      </c>
      <c r="BC14" s="101">
        <f aca="true" t="shared" si="19" ref="BC14:BC30">AW14+AX14</f>
        <v>0</v>
      </c>
      <c r="BD14" s="101">
        <f aca="true" t="shared" si="20" ref="BD14:BD30">H14/(100-BE14)*100</f>
        <v>0</v>
      </c>
      <c r="BE14" s="101">
        <v>0</v>
      </c>
      <c r="BF14" s="101">
        <f>14</f>
        <v>14</v>
      </c>
      <c r="BH14" s="99">
        <f aca="true" t="shared" si="21" ref="BH14:BH30">G14*AO14</f>
        <v>0</v>
      </c>
      <c r="BI14" s="99">
        <f aca="true" t="shared" si="22" ref="BI14:BI30">G14*AP14</f>
        <v>0</v>
      </c>
      <c r="BJ14" s="99">
        <f aca="true" t="shared" si="23" ref="BJ14:BJ30">G14*H14</f>
        <v>0</v>
      </c>
    </row>
    <row r="15" spans="1:62" ht="12.75">
      <c r="A15" s="13" t="s">
        <v>58</v>
      </c>
      <c r="B15" s="13" t="s">
        <v>164</v>
      </c>
      <c r="C15" s="48" t="s">
        <v>233</v>
      </c>
      <c r="D15" s="49"/>
      <c r="E15" s="49"/>
      <c r="F15" s="13" t="s">
        <v>323</v>
      </c>
      <c r="G15" s="23">
        <v>530</v>
      </c>
      <c r="H15" s="99">
        <v>0</v>
      </c>
      <c r="I15" s="99">
        <f t="shared" si="0"/>
        <v>0</v>
      </c>
      <c r="J15" s="99">
        <f t="shared" si="1"/>
        <v>0</v>
      </c>
      <c r="K15" s="99">
        <f t="shared" si="2"/>
        <v>0</v>
      </c>
      <c r="L15" s="100" t="s">
        <v>344</v>
      </c>
      <c r="Z15" s="101">
        <f t="shared" si="3"/>
        <v>0</v>
      </c>
      <c r="AB15" s="101">
        <f t="shared" si="4"/>
        <v>0</v>
      </c>
      <c r="AC15" s="101">
        <f t="shared" si="5"/>
        <v>0</v>
      </c>
      <c r="AD15" s="101">
        <f t="shared" si="6"/>
        <v>0</v>
      </c>
      <c r="AE15" s="101">
        <f t="shared" si="7"/>
        <v>0</v>
      </c>
      <c r="AF15" s="101">
        <f t="shared" si="8"/>
        <v>0</v>
      </c>
      <c r="AG15" s="101">
        <f t="shared" si="9"/>
        <v>0</v>
      </c>
      <c r="AH15" s="101">
        <f t="shared" si="10"/>
        <v>0</v>
      </c>
      <c r="AI15" s="93" t="s">
        <v>356</v>
      </c>
      <c r="AJ15" s="99">
        <f t="shared" si="11"/>
        <v>0</v>
      </c>
      <c r="AK15" s="99">
        <f t="shared" si="12"/>
        <v>0</v>
      </c>
      <c r="AL15" s="99">
        <f t="shared" si="13"/>
        <v>0</v>
      </c>
      <c r="AN15" s="101">
        <v>21</v>
      </c>
      <c r="AO15" s="101">
        <f t="shared" si="14"/>
        <v>0</v>
      </c>
      <c r="AP15" s="101">
        <f t="shared" si="15"/>
        <v>0</v>
      </c>
      <c r="AQ15" s="100" t="s">
        <v>57</v>
      </c>
      <c r="AV15" s="101">
        <f t="shared" si="16"/>
        <v>0</v>
      </c>
      <c r="AW15" s="101">
        <f t="shared" si="17"/>
        <v>0</v>
      </c>
      <c r="AX15" s="101">
        <f t="shared" si="18"/>
        <v>0</v>
      </c>
      <c r="AY15" s="102" t="s">
        <v>366</v>
      </c>
      <c r="AZ15" s="102" t="s">
        <v>372</v>
      </c>
      <c r="BA15" s="93" t="s">
        <v>389</v>
      </c>
      <c r="BC15" s="101">
        <f t="shared" si="19"/>
        <v>0</v>
      </c>
      <c r="BD15" s="101">
        <f t="shared" si="20"/>
        <v>0</v>
      </c>
      <c r="BE15" s="101">
        <v>0</v>
      </c>
      <c r="BF15" s="101">
        <f>15</f>
        <v>15</v>
      </c>
      <c r="BH15" s="99">
        <f t="shared" si="21"/>
        <v>0</v>
      </c>
      <c r="BI15" s="99">
        <f t="shared" si="22"/>
        <v>0</v>
      </c>
      <c r="BJ15" s="99">
        <f t="shared" si="23"/>
        <v>0</v>
      </c>
    </row>
    <row r="16" spans="1:62" ht="12.75">
      <c r="A16" s="13" t="s">
        <v>59</v>
      </c>
      <c r="B16" s="13" t="s">
        <v>165</v>
      </c>
      <c r="C16" s="48" t="s">
        <v>234</v>
      </c>
      <c r="D16" s="49"/>
      <c r="E16" s="49"/>
      <c r="F16" s="13" t="s">
        <v>323</v>
      </c>
      <c r="G16" s="23">
        <v>382</v>
      </c>
      <c r="H16" s="99">
        <v>0</v>
      </c>
      <c r="I16" s="99">
        <f t="shared" si="0"/>
        <v>0</v>
      </c>
      <c r="J16" s="99">
        <f t="shared" si="1"/>
        <v>0</v>
      </c>
      <c r="K16" s="99">
        <f t="shared" si="2"/>
        <v>0</v>
      </c>
      <c r="L16" s="100" t="s">
        <v>344</v>
      </c>
      <c r="Z16" s="101">
        <f t="shared" si="3"/>
        <v>0</v>
      </c>
      <c r="AB16" s="101">
        <f t="shared" si="4"/>
        <v>0</v>
      </c>
      <c r="AC16" s="101">
        <f t="shared" si="5"/>
        <v>0</v>
      </c>
      <c r="AD16" s="101">
        <f t="shared" si="6"/>
        <v>0</v>
      </c>
      <c r="AE16" s="101">
        <f t="shared" si="7"/>
        <v>0</v>
      </c>
      <c r="AF16" s="101">
        <f t="shared" si="8"/>
        <v>0</v>
      </c>
      <c r="AG16" s="101">
        <f t="shared" si="9"/>
        <v>0</v>
      </c>
      <c r="AH16" s="101">
        <f t="shared" si="10"/>
        <v>0</v>
      </c>
      <c r="AI16" s="93" t="s">
        <v>356</v>
      </c>
      <c r="AJ16" s="99">
        <f t="shared" si="11"/>
        <v>0</v>
      </c>
      <c r="AK16" s="99">
        <f t="shared" si="12"/>
        <v>0</v>
      </c>
      <c r="AL16" s="99">
        <f t="shared" si="13"/>
        <v>0</v>
      </c>
      <c r="AN16" s="101">
        <v>21</v>
      </c>
      <c r="AO16" s="101">
        <f t="shared" si="14"/>
        <v>0</v>
      </c>
      <c r="AP16" s="101">
        <f t="shared" si="15"/>
        <v>0</v>
      </c>
      <c r="AQ16" s="100" t="s">
        <v>57</v>
      </c>
      <c r="AV16" s="101">
        <f t="shared" si="16"/>
        <v>0</v>
      </c>
      <c r="AW16" s="101">
        <f t="shared" si="17"/>
        <v>0</v>
      </c>
      <c r="AX16" s="101">
        <f t="shared" si="18"/>
        <v>0</v>
      </c>
      <c r="AY16" s="102" t="s">
        <v>366</v>
      </c>
      <c r="AZ16" s="102" t="s">
        <v>372</v>
      </c>
      <c r="BA16" s="93" t="s">
        <v>389</v>
      </c>
      <c r="BC16" s="101">
        <f t="shared" si="19"/>
        <v>0</v>
      </c>
      <c r="BD16" s="101">
        <f t="shared" si="20"/>
        <v>0</v>
      </c>
      <c r="BE16" s="101">
        <v>0</v>
      </c>
      <c r="BF16" s="101">
        <f>16</f>
        <v>16</v>
      </c>
      <c r="BH16" s="99">
        <f t="shared" si="21"/>
        <v>0</v>
      </c>
      <c r="BI16" s="99">
        <f t="shared" si="22"/>
        <v>0</v>
      </c>
      <c r="BJ16" s="99">
        <f t="shared" si="23"/>
        <v>0</v>
      </c>
    </row>
    <row r="17" spans="1:62" ht="12.75">
      <c r="A17" s="13" t="s">
        <v>60</v>
      </c>
      <c r="B17" s="13" t="s">
        <v>166</v>
      </c>
      <c r="C17" s="48" t="s">
        <v>235</v>
      </c>
      <c r="D17" s="49"/>
      <c r="E17" s="49"/>
      <c r="F17" s="13" t="s">
        <v>323</v>
      </c>
      <c r="G17" s="23">
        <v>169</v>
      </c>
      <c r="H17" s="99">
        <v>0</v>
      </c>
      <c r="I17" s="99">
        <f t="shared" si="0"/>
        <v>0</v>
      </c>
      <c r="J17" s="99">
        <f t="shared" si="1"/>
        <v>0</v>
      </c>
      <c r="K17" s="99">
        <f t="shared" si="2"/>
        <v>0</v>
      </c>
      <c r="L17" s="100" t="s">
        <v>344</v>
      </c>
      <c r="Z17" s="101">
        <f t="shared" si="3"/>
        <v>0</v>
      </c>
      <c r="AB17" s="101">
        <f t="shared" si="4"/>
        <v>0</v>
      </c>
      <c r="AC17" s="101">
        <f t="shared" si="5"/>
        <v>0</v>
      </c>
      <c r="AD17" s="101">
        <f t="shared" si="6"/>
        <v>0</v>
      </c>
      <c r="AE17" s="101">
        <f t="shared" si="7"/>
        <v>0</v>
      </c>
      <c r="AF17" s="101">
        <f t="shared" si="8"/>
        <v>0</v>
      </c>
      <c r="AG17" s="101">
        <f t="shared" si="9"/>
        <v>0</v>
      </c>
      <c r="AH17" s="101">
        <f t="shared" si="10"/>
        <v>0</v>
      </c>
      <c r="AI17" s="93" t="s">
        <v>356</v>
      </c>
      <c r="AJ17" s="99">
        <f t="shared" si="11"/>
        <v>0</v>
      </c>
      <c r="AK17" s="99">
        <f t="shared" si="12"/>
        <v>0</v>
      </c>
      <c r="AL17" s="99">
        <f t="shared" si="13"/>
        <v>0</v>
      </c>
      <c r="AN17" s="101">
        <v>21</v>
      </c>
      <c r="AO17" s="101">
        <f t="shared" si="14"/>
        <v>0</v>
      </c>
      <c r="AP17" s="101">
        <f t="shared" si="15"/>
        <v>0</v>
      </c>
      <c r="AQ17" s="100" t="s">
        <v>57</v>
      </c>
      <c r="AV17" s="101">
        <f t="shared" si="16"/>
        <v>0</v>
      </c>
      <c r="AW17" s="101">
        <f t="shared" si="17"/>
        <v>0</v>
      </c>
      <c r="AX17" s="101">
        <f t="shared" si="18"/>
        <v>0</v>
      </c>
      <c r="AY17" s="102" t="s">
        <v>366</v>
      </c>
      <c r="AZ17" s="102" t="s">
        <v>372</v>
      </c>
      <c r="BA17" s="93" t="s">
        <v>389</v>
      </c>
      <c r="BC17" s="101">
        <f t="shared" si="19"/>
        <v>0</v>
      </c>
      <c r="BD17" s="101">
        <f t="shared" si="20"/>
        <v>0</v>
      </c>
      <c r="BE17" s="101">
        <v>0</v>
      </c>
      <c r="BF17" s="101">
        <f>17</f>
        <v>17</v>
      </c>
      <c r="BH17" s="99">
        <f t="shared" si="21"/>
        <v>0</v>
      </c>
      <c r="BI17" s="99">
        <f t="shared" si="22"/>
        <v>0</v>
      </c>
      <c r="BJ17" s="99">
        <f t="shared" si="23"/>
        <v>0</v>
      </c>
    </row>
    <row r="18" spans="1:62" ht="12.75">
      <c r="A18" s="13" t="s">
        <v>61</v>
      </c>
      <c r="B18" s="13" t="s">
        <v>167</v>
      </c>
      <c r="C18" s="48" t="s">
        <v>236</v>
      </c>
      <c r="D18" s="49"/>
      <c r="E18" s="49"/>
      <c r="F18" s="13" t="s">
        <v>323</v>
      </c>
      <c r="G18" s="23">
        <v>84</v>
      </c>
      <c r="H18" s="99">
        <v>0</v>
      </c>
      <c r="I18" s="99">
        <f t="shared" si="0"/>
        <v>0</v>
      </c>
      <c r="J18" s="99">
        <f t="shared" si="1"/>
        <v>0</v>
      </c>
      <c r="K18" s="99">
        <f t="shared" si="2"/>
        <v>0</v>
      </c>
      <c r="L18" s="100" t="s">
        <v>344</v>
      </c>
      <c r="Z18" s="101">
        <f t="shared" si="3"/>
        <v>0</v>
      </c>
      <c r="AB18" s="101">
        <f t="shared" si="4"/>
        <v>0</v>
      </c>
      <c r="AC18" s="101">
        <f t="shared" si="5"/>
        <v>0</v>
      </c>
      <c r="AD18" s="101">
        <f t="shared" si="6"/>
        <v>0</v>
      </c>
      <c r="AE18" s="101">
        <f t="shared" si="7"/>
        <v>0</v>
      </c>
      <c r="AF18" s="101">
        <f t="shared" si="8"/>
        <v>0</v>
      </c>
      <c r="AG18" s="101">
        <f t="shared" si="9"/>
        <v>0</v>
      </c>
      <c r="AH18" s="101">
        <f t="shared" si="10"/>
        <v>0</v>
      </c>
      <c r="AI18" s="93" t="s">
        <v>356</v>
      </c>
      <c r="AJ18" s="99">
        <f t="shared" si="11"/>
        <v>0</v>
      </c>
      <c r="AK18" s="99">
        <f t="shared" si="12"/>
        <v>0</v>
      </c>
      <c r="AL18" s="99">
        <f t="shared" si="13"/>
        <v>0</v>
      </c>
      <c r="AN18" s="101">
        <v>21</v>
      </c>
      <c r="AO18" s="101">
        <f t="shared" si="14"/>
        <v>0</v>
      </c>
      <c r="AP18" s="101">
        <f t="shared" si="15"/>
        <v>0</v>
      </c>
      <c r="AQ18" s="100" t="s">
        <v>57</v>
      </c>
      <c r="AV18" s="101">
        <f t="shared" si="16"/>
        <v>0</v>
      </c>
      <c r="AW18" s="101">
        <f t="shared" si="17"/>
        <v>0</v>
      </c>
      <c r="AX18" s="101">
        <f t="shared" si="18"/>
        <v>0</v>
      </c>
      <c r="AY18" s="102" t="s">
        <v>366</v>
      </c>
      <c r="AZ18" s="102" t="s">
        <v>372</v>
      </c>
      <c r="BA18" s="93" t="s">
        <v>389</v>
      </c>
      <c r="BC18" s="101">
        <f t="shared" si="19"/>
        <v>0</v>
      </c>
      <c r="BD18" s="101">
        <f t="shared" si="20"/>
        <v>0</v>
      </c>
      <c r="BE18" s="101">
        <v>0</v>
      </c>
      <c r="BF18" s="101">
        <f>18</f>
        <v>18</v>
      </c>
      <c r="BH18" s="99">
        <f t="shared" si="21"/>
        <v>0</v>
      </c>
      <c r="BI18" s="99">
        <f t="shared" si="22"/>
        <v>0</v>
      </c>
      <c r="BJ18" s="99">
        <f t="shared" si="23"/>
        <v>0</v>
      </c>
    </row>
    <row r="19" spans="1:62" ht="12.75">
      <c r="A19" s="13" t="s">
        <v>62</v>
      </c>
      <c r="B19" s="13" t="s">
        <v>168</v>
      </c>
      <c r="C19" s="48" t="s">
        <v>237</v>
      </c>
      <c r="D19" s="49"/>
      <c r="E19" s="49"/>
      <c r="F19" s="13" t="s">
        <v>323</v>
      </c>
      <c r="G19" s="23">
        <v>38</v>
      </c>
      <c r="H19" s="99">
        <v>0</v>
      </c>
      <c r="I19" s="99">
        <f t="shared" si="0"/>
        <v>0</v>
      </c>
      <c r="J19" s="99">
        <f t="shared" si="1"/>
        <v>0</v>
      </c>
      <c r="K19" s="99">
        <f t="shared" si="2"/>
        <v>0</v>
      </c>
      <c r="L19" s="100" t="s">
        <v>344</v>
      </c>
      <c r="Z19" s="101">
        <f t="shared" si="3"/>
        <v>0</v>
      </c>
      <c r="AB19" s="101">
        <f t="shared" si="4"/>
        <v>0</v>
      </c>
      <c r="AC19" s="101">
        <f t="shared" si="5"/>
        <v>0</v>
      </c>
      <c r="AD19" s="101">
        <f t="shared" si="6"/>
        <v>0</v>
      </c>
      <c r="AE19" s="101">
        <f t="shared" si="7"/>
        <v>0</v>
      </c>
      <c r="AF19" s="101">
        <f t="shared" si="8"/>
        <v>0</v>
      </c>
      <c r="AG19" s="101">
        <f t="shared" si="9"/>
        <v>0</v>
      </c>
      <c r="AH19" s="101">
        <f t="shared" si="10"/>
        <v>0</v>
      </c>
      <c r="AI19" s="93" t="s">
        <v>356</v>
      </c>
      <c r="AJ19" s="99">
        <f t="shared" si="11"/>
        <v>0</v>
      </c>
      <c r="AK19" s="99">
        <f t="shared" si="12"/>
        <v>0</v>
      </c>
      <c r="AL19" s="99">
        <f t="shared" si="13"/>
        <v>0</v>
      </c>
      <c r="AN19" s="101">
        <v>21</v>
      </c>
      <c r="AO19" s="101">
        <f t="shared" si="14"/>
        <v>0</v>
      </c>
      <c r="AP19" s="101">
        <f t="shared" si="15"/>
        <v>0</v>
      </c>
      <c r="AQ19" s="100" t="s">
        <v>57</v>
      </c>
      <c r="AV19" s="101">
        <f t="shared" si="16"/>
        <v>0</v>
      </c>
      <c r="AW19" s="101">
        <f t="shared" si="17"/>
        <v>0</v>
      </c>
      <c r="AX19" s="101">
        <f t="shared" si="18"/>
        <v>0</v>
      </c>
      <c r="AY19" s="102" t="s">
        <v>366</v>
      </c>
      <c r="AZ19" s="102" t="s">
        <v>372</v>
      </c>
      <c r="BA19" s="93" t="s">
        <v>389</v>
      </c>
      <c r="BC19" s="101">
        <f t="shared" si="19"/>
        <v>0</v>
      </c>
      <c r="BD19" s="101">
        <f t="shared" si="20"/>
        <v>0</v>
      </c>
      <c r="BE19" s="101">
        <v>0</v>
      </c>
      <c r="BF19" s="101">
        <f>19</f>
        <v>19</v>
      </c>
      <c r="BH19" s="99">
        <f t="shared" si="21"/>
        <v>0</v>
      </c>
      <c r="BI19" s="99">
        <f t="shared" si="22"/>
        <v>0</v>
      </c>
      <c r="BJ19" s="99">
        <f t="shared" si="23"/>
        <v>0</v>
      </c>
    </row>
    <row r="20" spans="1:62" ht="12.75">
      <c r="A20" s="13" t="s">
        <v>63</v>
      </c>
      <c r="B20" s="13" t="s">
        <v>169</v>
      </c>
      <c r="C20" s="48" t="s">
        <v>238</v>
      </c>
      <c r="D20" s="49"/>
      <c r="E20" s="49"/>
      <c r="F20" s="13" t="s">
        <v>323</v>
      </c>
      <c r="G20" s="23">
        <v>24</v>
      </c>
      <c r="H20" s="99">
        <v>0</v>
      </c>
      <c r="I20" s="99">
        <f t="shared" si="0"/>
        <v>0</v>
      </c>
      <c r="J20" s="99">
        <f t="shared" si="1"/>
        <v>0</v>
      </c>
      <c r="K20" s="99">
        <f t="shared" si="2"/>
        <v>0</v>
      </c>
      <c r="L20" s="100" t="s">
        <v>344</v>
      </c>
      <c r="Z20" s="101">
        <f t="shared" si="3"/>
        <v>0</v>
      </c>
      <c r="AB20" s="101">
        <f t="shared" si="4"/>
        <v>0</v>
      </c>
      <c r="AC20" s="101">
        <f t="shared" si="5"/>
        <v>0</v>
      </c>
      <c r="AD20" s="101">
        <f t="shared" si="6"/>
        <v>0</v>
      </c>
      <c r="AE20" s="101">
        <f t="shared" si="7"/>
        <v>0</v>
      </c>
      <c r="AF20" s="101">
        <f t="shared" si="8"/>
        <v>0</v>
      </c>
      <c r="AG20" s="101">
        <f t="shared" si="9"/>
        <v>0</v>
      </c>
      <c r="AH20" s="101">
        <f t="shared" si="10"/>
        <v>0</v>
      </c>
      <c r="AI20" s="93" t="s">
        <v>356</v>
      </c>
      <c r="AJ20" s="99">
        <f t="shared" si="11"/>
        <v>0</v>
      </c>
      <c r="AK20" s="99">
        <f t="shared" si="12"/>
        <v>0</v>
      </c>
      <c r="AL20" s="99">
        <f t="shared" si="13"/>
        <v>0</v>
      </c>
      <c r="AN20" s="101">
        <v>21</v>
      </c>
      <c r="AO20" s="101">
        <f t="shared" si="14"/>
        <v>0</v>
      </c>
      <c r="AP20" s="101">
        <f t="shared" si="15"/>
        <v>0</v>
      </c>
      <c r="AQ20" s="100" t="s">
        <v>57</v>
      </c>
      <c r="AV20" s="101">
        <f t="shared" si="16"/>
        <v>0</v>
      </c>
      <c r="AW20" s="101">
        <f t="shared" si="17"/>
        <v>0</v>
      </c>
      <c r="AX20" s="101">
        <f t="shared" si="18"/>
        <v>0</v>
      </c>
      <c r="AY20" s="102" t="s">
        <v>366</v>
      </c>
      <c r="AZ20" s="102" t="s">
        <v>372</v>
      </c>
      <c r="BA20" s="93" t="s">
        <v>389</v>
      </c>
      <c r="BC20" s="101">
        <f t="shared" si="19"/>
        <v>0</v>
      </c>
      <c r="BD20" s="101">
        <f t="shared" si="20"/>
        <v>0</v>
      </c>
      <c r="BE20" s="101">
        <v>0</v>
      </c>
      <c r="BF20" s="101">
        <f>20</f>
        <v>20</v>
      </c>
      <c r="BH20" s="99">
        <f t="shared" si="21"/>
        <v>0</v>
      </c>
      <c r="BI20" s="99">
        <f t="shared" si="22"/>
        <v>0</v>
      </c>
      <c r="BJ20" s="99">
        <f t="shared" si="23"/>
        <v>0</v>
      </c>
    </row>
    <row r="21" spans="1:62" ht="12.75">
      <c r="A21" s="13" t="s">
        <v>64</v>
      </c>
      <c r="B21" s="13" t="s">
        <v>170</v>
      </c>
      <c r="C21" s="48" t="s">
        <v>239</v>
      </c>
      <c r="D21" s="49"/>
      <c r="E21" s="49"/>
      <c r="F21" s="13" t="s">
        <v>323</v>
      </c>
      <c r="G21" s="23">
        <v>3</v>
      </c>
      <c r="H21" s="99">
        <v>0</v>
      </c>
      <c r="I21" s="99">
        <f t="shared" si="0"/>
        <v>0</v>
      </c>
      <c r="J21" s="99">
        <f t="shared" si="1"/>
        <v>0</v>
      </c>
      <c r="K21" s="99">
        <f t="shared" si="2"/>
        <v>0</v>
      </c>
      <c r="L21" s="100" t="s">
        <v>344</v>
      </c>
      <c r="Z21" s="101">
        <f t="shared" si="3"/>
        <v>0</v>
      </c>
      <c r="AB21" s="101">
        <f t="shared" si="4"/>
        <v>0</v>
      </c>
      <c r="AC21" s="101">
        <f t="shared" si="5"/>
        <v>0</v>
      </c>
      <c r="AD21" s="101">
        <f t="shared" si="6"/>
        <v>0</v>
      </c>
      <c r="AE21" s="101">
        <f t="shared" si="7"/>
        <v>0</v>
      </c>
      <c r="AF21" s="101">
        <f t="shared" si="8"/>
        <v>0</v>
      </c>
      <c r="AG21" s="101">
        <f t="shared" si="9"/>
        <v>0</v>
      </c>
      <c r="AH21" s="101">
        <f t="shared" si="10"/>
        <v>0</v>
      </c>
      <c r="AI21" s="93" t="s">
        <v>356</v>
      </c>
      <c r="AJ21" s="99">
        <f t="shared" si="11"/>
        <v>0</v>
      </c>
      <c r="AK21" s="99">
        <f t="shared" si="12"/>
        <v>0</v>
      </c>
      <c r="AL21" s="99">
        <f t="shared" si="13"/>
        <v>0</v>
      </c>
      <c r="AN21" s="101">
        <v>21</v>
      </c>
      <c r="AO21" s="101">
        <f t="shared" si="14"/>
        <v>0</v>
      </c>
      <c r="AP21" s="101">
        <f t="shared" si="15"/>
        <v>0</v>
      </c>
      <c r="AQ21" s="100" t="s">
        <v>57</v>
      </c>
      <c r="AV21" s="101">
        <f t="shared" si="16"/>
        <v>0</v>
      </c>
      <c r="AW21" s="101">
        <f t="shared" si="17"/>
        <v>0</v>
      </c>
      <c r="AX21" s="101">
        <f t="shared" si="18"/>
        <v>0</v>
      </c>
      <c r="AY21" s="102" t="s">
        <v>366</v>
      </c>
      <c r="AZ21" s="102" t="s">
        <v>372</v>
      </c>
      <c r="BA21" s="93" t="s">
        <v>389</v>
      </c>
      <c r="BC21" s="101">
        <f t="shared" si="19"/>
        <v>0</v>
      </c>
      <c r="BD21" s="101">
        <f t="shared" si="20"/>
        <v>0</v>
      </c>
      <c r="BE21" s="101">
        <v>0</v>
      </c>
      <c r="BF21" s="101">
        <f>21</f>
        <v>21</v>
      </c>
      <c r="BH21" s="99">
        <f t="shared" si="21"/>
        <v>0</v>
      </c>
      <c r="BI21" s="99">
        <f t="shared" si="22"/>
        <v>0</v>
      </c>
      <c r="BJ21" s="99">
        <f t="shared" si="23"/>
        <v>0</v>
      </c>
    </row>
    <row r="22" spans="1:62" ht="12.75">
      <c r="A22" s="13" t="s">
        <v>65</v>
      </c>
      <c r="B22" s="13" t="s">
        <v>171</v>
      </c>
      <c r="C22" s="48" t="s">
        <v>240</v>
      </c>
      <c r="D22" s="49"/>
      <c r="E22" s="49"/>
      <c r="F22" s="13" t="s">
        <v>323</v>
      </c>
      <c r="G22" s="23">
        <v>371</v>
      </c>
      <c r="H22" s="99">
        <v>0</v>
      </c>
      <c r="I22" s="99">
        <f t="shared" si="0"/>
        <v>0</v>
      </c>
      <c r="J22" s="99">
        <f t="shared" si="1"/>
        <v>0</v>
      </c>
      <c r="K22" s="99">
        <f t="shared" si="2"/>
        <v>0</v>
      </c>
      <c r="L22" s="100" t="s">
        <v>344</v>
      </c>
      <c r="Z22" s="101">
        <f t="shared" si="3"/>
        <v>0</v>
      </c>
      <c r="AB22" s="101">
        <f t="shared" si="4"/>
        <v>0</v>
      </c>
      <c r="AC22" s="101">
        <f t="shared" si="5"/>
        <v>0</v>
      </c>
      <c r="AD22" s="101">
        <f t="shared" si="6"/>
        <v>0</v>
      </c>
      <c r="AE22" s="101">
        <f t="shared" si="7"/>
        <v>0</v>
      </c>
      <c r="AF22" s="101">
        <f t="shared" si="8"/>
        <v>0</v>
      </c>
      <c r="AG22" s="101">
        <f t="shared" si="9"/>
        <v>0</v>
      </c>
      <c r="AH22" s="101">
        <f t="shared" si="10"/>
        <v>0</v>
      </c>
      <c r="AI22" s="93" t="s">
        <v>356</v>
      </c>
      <c r="AJ22" s="99">
        <f t="shared" si="11"/>
        <v>0</v>
      </c>
      <c r="AK22" s="99">
        <f t="shared" si="12"/>
        <v>0</v>
      </c>
      <c r="AL22" s="99">
        <f t="shared" si="13"/>
        <v>0</v>
      </c>
      <c r="AN22" s="101">
        <v>21</v>
      </c>
      <c r="AO22" s="101">
        <f t="shared" si="14"/>
        <v>0</v>
      </c>
      <c r="AP22" s="101">
        <f t="shared" si="15"/>
        <v>0</v>
      </c>
      <c r="AQ22" s="100" t="s">
        <v>57</v>
      </c>
      <c r="AV22" s="101">
        <f t="shared" si="16"/>
        <v>0</v>
      </c>
      <c r="AW22" s="101">
        <f t="shared" si="17"/>
        <v>0</v>
      </c>
      <c r="AX22" s="101">
        <f t="shared" si="18"/>
        <v>0</v>
      </c>
      <c r="AY22" s="102" t="s">
        <v>366</v>
      </c>
      <c r="AZ22" s="102" t="s">
        <v>372</v>
      </c>
      <c r="BA22" s="93" t="s">
        <v>389</v>
      </c>
      <c r="BC22" s="101">
        <f t="shared" si="19"/>
        <v>0</v>
      </c>
      <c r="BD22" s="101">
        <f t="shared" si="20"/>
        <v>0</v>
      </c>
      <c r="BE22" s="101">
        <v>0</v>
      </c>
      <c r="BF22" s="101">
        <f>22</f>
        <v>22</v>
      </c>
      <c r="BH22" s="99">
        <f t="shared" si="21"/>
        <v>0</v>
      </c>
      <c r="BI22" s="99">
        <f t="shared" si="22"/>
        <v>0</v>
      </c>
      <c r="BJ22" s="99">
        <f t="shared" si="23"/>
        <v>0</v>
      </c>
    </row>
    <row r="23" spans="1:62" ht="12.75">
      <c r="A23" s="13" t="s">
        <v>66</v>
      </c>
      <c r="B23" s="13" t="s">
        <v>172</v>
      </c>
      <c r="C23" s="48" t="s">
        <v>241</v>
      </c>
      <c r="D23" s="49"/>
      <c r="E23" s="49"/>
      <c r="F23" s="13" t="s">
        <v>323</v>
      </c>
      <c r="G23" s="23">
        <v>171</v>
      </c>
      <c r="H23" s="99">
        <v>0</v>
      </c>
      <c r="I23" s="99">
        <f t="shared" si="0"/>
        <v>0</v>
      </c>
      <c r="J23" s="99">
        <f t="shared" si="1"/>
        <v>0</v>
      </c>
      <c r="K23" s="99">
        <f t="shared" si="2"/>
        <v>0</v>
      </c>
      <c r="L23" s="100" t="s">
        <v>344</v>
      </c>
      <c r="Z23" s="101">
        <f t="shared" si="3"/>
        <v>0</v>
      </c>
      <c r="AB23" s="101">
        <f t="shared" si="4"/>
        <v>0</v>
      </c>
      <c r="AC23" s="101">
        <f t="shared" si="5"/>
        <v>0</v>
      </c>
      <c r="AD23" s="101">
        <f t="shared" si="6"/>
        <v>0</v>
      </c>
      <c r="AE23" s="101">
        <f t="shared" si="7"/>
        <v>0</v>
      </c>
      <c r="AF23" s="101">
        <f t="shared" si="8"/>
        <v>0</v>
      </c>
      <c r="AG23" s="101">
        <f t="shared" si="9"/>
        <v>0</v>
      </c>
      <c r="AH23" s="101">
        <f t="shared" si="10"/>
        <v>0</v>
      </c>
      <c r="AI23" s="93" t="s">
        <v>356</v>
      </c>
      <c r="AJ23" s="99">
        <f t="shared" si="11"/>
        <v>0</v>
      </c>
      <c r="AK23" s="99">
        <f t="shared" si="12"/>
        <v>0</v>
      </c>
      <c r="AL23" s="99">
        <f t="shared" si="13"/>
        <v>0</v>
      </c>
      <c r="AN23" s="101">
        <v>21</v>
      </c>
      <c r="AO23" s="101">
        <f t="shared" si="14"/>
        <v>0</v>
      </c>
      <c r="AP23" s="101">
        <f t="shared" si="15"/>
        <v>0</v>
      </c>
      <c r="AQ23" s="100" t="s">
        <v>57</v>
      </c>
      <c r="AV23" s="101">
        <f t="shared" si="16"/>
        <v>0</v>
      </c>
      <c r="AW23" s="101">
        <f t="shared" si="17"/>
        <v>0</v>
      </c>
      <c r="AX23" s="101">
        <f t="shared" si="18"/>
        <v>0</v>
      </c>
      <c r="AY23" s="102" t="s">
        <v>366</v>
      </c>
      <c r="AZ23" s="102" t="s">
        <v>372</v>
      </c>
      <c r="BA23" s="93" t="s">
        <v>389</v>
      </c>
      <c r="BC23" s="101">
        <f t="shared" si="19"/>
        <v>0</v>
      </c>
      <c r="BD23" s="101">
        <f t="shared" si="20"/>
        <v>0</v>
      </c>
      <c r="BE23" s="101">
        <v>0</v>
      </c>
      <c r="BF23" s="101">
        <f>23</f>
        <v>23</v>
      </c>
      <c r="BH23" s="99">
        <f t="shared" si="21"/>
        <v>0</v>
      </c>
      <c r="BI23" s="99">
        <f t="shared" si="22"/>
        <v>0</v>
      </c>
      <c r="BJ23" s="99">
        <f t="shared" si="23"/>
        <v>0</v>
      </c>
    </row>
    <row r="24" spans="1:62" ht="12.75">
      <c r="A24" s="13" t="s">
        <v>67</v>
      </c>
      <c r="B24" s="13" t="s">
        <v>173</v>
      </c>
      <c r="C24" s="48" t="s">
        <v>242</v>
      </c>
      <c r="D24" s="49"/>
      <c r="E24" s="49"/>
      <c r="F24" s="13" t="s">
        <v>323</v>
      </c>
      <c r="G24" s="23">
        <v>169</v>
      </c>
      <c r="H24" s="99">
        <v>0</v>
      </c>
      <c r="I24" s="99">
        <f t="shared" si="0"/>
        <v>0</v>
      </c>
      <c r="J24" s="99">
        <f t="shared" si="1"/>
        <v>0</v>
      </c>
      <c r="K24" s="99">
        <f t="shared" si="2"/>
        <v>0</v>
      </c>
      <c r="L24" s="100" t="s">
        <v>344</v>
      </c>
      <c r="Z24" s="101">
        <f t="shared" si="3"/>
        <v>0</v>
      </c>
      <c r="AB24" s="101">
        <f t="shared" si="4"/>
        <v>0</v>
      </c>
      <c r="AC24" s="101">
        <f t="shared" si="5"/>
        <v>0</v>
      </c>
      <c r="AD24" s="101">
        <f t="shared" si="6"/>
        <v>0</v>
      </c>
      <c r="AE24" s="101">
        <f t="shared" si="7"/>
        <v>0</v>
      </c>
      <c r="AF24" s="101">
        <f t="shared" si="8"/>
        <v>0</v>
      </c>
      <c r="AG24" s="101">
        <f t="shared" si="9"/>
        <v>0</v>
      </c>
      <c r="AH24" s="101">
        <f t="shared" si="10"/>
        <v>0</v>
      </c>
      <c r="AI24" s="93" t="s">
        <v>356</v>
      </c>
      <c r="AJ24" s="99">
        <f t="shared" si="11"/>
        <v>0</v>
      </c>
      <c r="AK24" s="99">
        <f t="shared" si="12"/>
        <v>0</v>
      </c>
      <c r="AL24" s="99">
        <f t="shared" si="13"/>
        <v>0</v>
      </c>
      <c r="AN24" s="101">
        <v>21</v>
      </c>
      <c r="AO24" s="101">
        <f t="shared" si="14"/>
        <v>0</v>
      </c>
      <c r="AP24" s="101">
        <f t="shared" si="15"/>
        <v>0</v>
      </c>
      <c r="AQ24" s="100" t="s">
        <v>57</v>
      </c>
      <c r="AV24" s="101">
        <f t="shared" si="16"/>
        <v>0</v>
      </c>
      <c r="AW24" s="101">
        <f t="shared" si="17"/>
        <v>0</v>
      </c>
      <c r="AX24" s="101">
        <f t="shared" si="18"/>
        <v>0</v>
      </c>
      <c r="AY24" s="102" t="s">
        <v>366</v>
      </c>
      <c r="AZ24" s="102" t="s">
        <v>372</v>
      </c>
      <c r="BA24" s="93" t="s">
        <v>389</v>
      </c>
      <c r="BC24" s="101">
        <f t="shared" si="19"/>
        <v>0</v>
      </c>
      <c r="BD24" s="101">
        <f t="shared" si="20"/>
        <v>0</v>
      </c>
      <c r="BE24" s="101">
        <v>0</v>
      </c>
      <c r="BF24" s="101">
        <f>24</f>
        <v>24</v>
      </c>
      <c r="BH24" s="99">
        <f t="shared" si="21"/>
        <v>0</v>
      </c>
      <c r="BI24" s="99">
        <f t="shared" si="22"/>
        <v>0</v>
      </c>
      <c r="BJ24" s="99">
        <f t="shared" si="23"/>
        <v>0</v>
      </c>
    </row>
    <row r="25" spans="1:62" ht="12.75">
      <c r="A25" s="13" t="s">
        <v>68</v>
      </c>
      <c r="B25" s="13" t="s">
        <v>174</v>
      </c>
      <c r="C25" s="48" t="s">
        <v>243</v>
      </c>
      <c r="D25" s="49"/>
      <c r="E25" s="49"/>
      <c r="F25" s="13" t="s">
        <v>323</v>
      </c>
      <c r="G25" s="23">
        <v>126</v>
      </c>
      <c r="H25" s="99">
        <v>0</v>
      </c>
      <c r="I25" s="99">
        <f t="shared" si="0"/>
        <v>0</v>
      </c>
      <c r="J25" s="99">
        <f t="shared" si="1"/>
        <v>0</v>
      </c>
      <c r="K25" s="99">
        <f t="shared" si="2"/>
        <v>0</v>
      </c>
      <c r="L25" s="100" t="s">
        <v>344</v>
      </c>
      <c r="Z25" s="101">
        <f t="shared" si="3"/>
        <v>0</v>
      </c>
      <c r="AB25" s="101">
        <f t="shared" si="4"/>
        <v>0</v>
      </c>
      <c r="AC25" s="101">
        <f t="shared" si="5"/>
        <v>0</v>
      </c>
      <c r="AD25" s="101">
        <f t="shared" si="6"/>
        <v>0</v>
      </c>
      <c r="AE25" s="101">
        <f t="shared" si="7"/>
        <v>0</v>
      </c>
      <c r="AF25" s="101">
        <f t="shared" si="8"/>
        <v>0</v>
      </c>
      <c r="AG25" s="101">
        <f t="shared" si="9"/>
        <v>0</v>
      </c>
      <c r="AH25" s="101">
        <f t="shared" si="10"/>
        <v>0</v>
      </c>
      <c r="AI25" s="93" t="s">
        <v>356</v>
      </c>
      <c r="AJ25" s="99">
        <f t="shared" si="11"/>
        <v>0</v>
      </c>
      <c r="AK25" s="99">
        <f t="shared" si="12"/>
        <v>0</v>
      </c>
      <c r="AL25" s="99">
        <f t="shared" si="13"/>
        <v>0</v>
      </c>
      <c r="AN25" s="101">
        <v>21</v>
      </c>
      <c r="AO25" s="101">
        <f t="shared" si="14"/>
        <v>0</v>
      </c>
      <c r="AP25" s="101">
        <f t="shared" si="15"/>
        <v>0</v>
      </c>
      <c r="AQ25" s="100" t="s">
        <v>57</v>
      </c>
      <c r="AV25" s="101">
        <f t="shared" si="16"/>
        <v>0</v>
      </c>
      <c r="AW25" s="101">
        <f t="shared" si="17"/>
        <v>0</v>
      </c>
      <c r="AX25" s="101">
        <f t="shared" si="18"/>
        <v>0</v>
      </c>
      <c r="AY25" s="102" t="s">
        <v>366</v>
      </c>
      <c r="AZ25" s="102" t="s">
        <v>372</v>
      </c>
      <c r="BA25" s="93" t="s">
        <v>389</v>
      </c>
      <c r="BC25" s="101">
        <f t="shared" si="19"/>
        <v>0</v>
      </c>
      <c r="BD25" s="101">
        <f t="shared" si="20"/>
        <v>0</v>
      </c>
      <c r="BE25" s="101">
        <v>0</v>
      </c>
      <c r="BF25" s="101">
        <f>25</f>
        <v>25</v>
      </c>
      <c r="BH25" s="99">
        <f t="shared" si="21"/>
        <v>0</v>
      </c>
      <c r="BI25" s="99">
        <f t="shared" si="22"/>
        <v>0</v>
      </c>
      <c r="BJ25" s="99">
        <f t="shared" si="23"/>
        <v>0</v>
      </c>
    </row>
    <row r="26" spans="1:62" ht="12.75">
      <c r="A26" s="13" t="s">
        <v>69</v>
      </c>
      <c r="B26" s="13" t="s">
        <v>175</v>
      </c>
      <c r="C26" s="48" t="s">
        <v>244</v>
      </c>
      <c r="D26" s="49"/>
      <c r="E26" s="49"/>
      <c r="F26" s="13" t="s">
        <v>323</v>
      </c>
      <c r="G26" s="23">
        <v>41</v>
      </c>
      <c r="H26" s="99">
        <v>0</v>
      </c>
      <c r="I26" s="99">
        <f t="shared" si="0"/>
        <v>0</v>
      </c>
      <c r="J26" s="99">
        <f t="shared" si="1"/>
        <v>0</v>
      </c>
      <c r="K26" s="99">
        <f t="shared" si="2"/>
        <v>0</v>
      </c>
      <c r="L26" s="100" t="s">
        <v>344</v>
      </c>
      <c r="Z26" s="101">
        <f t="shared" si="3"/>
        <v>0</v>
      </c>
      <c r="AB26" s="101">
        <f t="shared" si="4"/>
        <v>0</v>
      </c>
      <c r="AC26" s="101">
        <f t="shared" si="5"/>
        <v>0</v>
      </c>
      <c r="AD26" s="101">
        <f t="shared" si="6"/>
        <v>0</v>
      </c>
      <c r="AE26" s="101">
        <f t="shared" si="7"/>
        <v>0</v>
      </c>
      <c r="AF26" s="101">
        <f t="shared" si="8"/>
        <v>0</v>
      </c>
      <c r="AG26" s="101">
        <f t="shared" si="9"/>
        <v>0</v>
      </c>
      <c r="AH26" s="101">
        <f t="shared" si="10"/>
        <v>0</v>
      </c>
      <c r="AI26" s="93" t="s">
        <v>356</v>
      </c>
      <c r="AJ26" s="99">
        <f t="shared" si="11"/>
        <v>0</v>
      </c>
      <c r="AK26" s="99">
        <f t="shared" si="12"/>
        <v>0</v>
      </c>
      <c r="AL26" s="99">
        <f t="shared" si="13"/>
        <v>0</v>
      </c>
      <c r="AN26" s="101">
        <v>21</v>
      </c>
      <c r="AO26" s="101">
        <f t="shared" si="14"/>
        <v>0</v>
      </c>
      <c r="AP26" s="101">
        <f t="shared" si="15"/>
        <v>0</v>
      </c>
      <c r="AQ26" s="100" t="s">
        <v>57</v>
      </c>
      <c r="AV26" s="101">
        <f t="shared" si="16"/>
        <v>0</v>
      </c>
      <c r="AW26" s="101">
        <f t="shared" si="17"/>
        <v>0</v>
      </c>
      <c r="AX26" s="101">
        <f t="shared" si="18"/>
        <v>0</v>
      </c>
      <c r="AY26" s="102" t="s">
        <v>366</v>
      </c>
      <c r="AZ26" s="102" t="s">
        <v>372</v>
      </c>
      <c r="BA26" s="93" t="s">
        <v>389</v>
      </c>
      <c r="BC26" s="101">
        <f t="shared" si="19"/>
        <v>0</v>
      </c>
      <c r="BD26" s="101">
        <f t="shared" si="20"/>
        <v>0</v>
      </c>
      <c r="BE26" s="101">
        <v>0</v>
      </c>
      <c r="BF26" s="101">
        <f>26</f>
        <v>26</v>
      </c>
      <c r="BH26" s="99">
        <f t="shared" si="21"/>
        <v>0</v>
      </c>
      <c r="BI26" s="99">
        <f t="shared" si="22"/>
        <v>0</v>
      </c>
      <c r="BJ26" s="99">
        <f t="shared" si="23"/>
        <v>0</v>
      </c>
    </row>
    <row r="27" spans="1:62" ht="12.75">
      <c r="A27" s="13" t="s">
        <v>70</v>
      </c>
      <c r="B27" s="13" t="s">
        <v>176</v>
      </c>
      <c r="C27" s="48" t="s">
        <v>245</v>
      </c>
      <c r="D27" s="49"/>
      <c r="E27" s="49"/>
      <c r="F27" s="13" t="s">
        <v>323</v>
      </c>
      <c r="G27" s="23">
        <v>20</v>
      </c>
      <c r="H27" s="99">
        <v>0</v>
      </c>
      <c r="I27" s="99">
        <f t="shared" si="0"/>
        <v>0</v>
      </c>
      <c r="J27" s="99">
        <f t="shared" si="1"/>
        <v>0</v>
      </c>
      <c r="K27" s="99">
        <f t="shared" si="2"/>
        <v>0</v>
      </c>
      <c r="L27" s="100" t="s">
        <v>344</v>
      </c>
      <c r="Z27" s="101">
        <f t="shared" si="3"/>
        <v>0</v>
      </c>
      <c r="AB27" s="101">
        <f t="shared" si="4"/>
        <v>0</v>
      </c>
      <c r="AC27" s="101">
        <f t="shared" si="5"/>
        <v>0</v>
      </c>
      <c r="AD27" s="101">
        <f t="shared" si="6"/>
        <v>0</v>
      </c>
      <c r="AE27" s="101">
        <f t="shared" si="7"/>
        <v>0</v>
      </c>
      <c r="AF27" s="101">
        <f t="shared" si="8"/>
        <v>0</v>
      </c>
      <c r="AG27" s="101">
        <f t="shared" si="9"/>
        <v>0</v>
      </c>
      <c r="AH27" s="101">
        <f t="shared" si="10"/>
        <v>0</v>
      </c>
      <c r="AI27" s="93" t="s">
        <v>356</v>
      </c>
      <c r="AJ27" s="99">
        <f t="shared" si="11"/>
        <v>0</v>
      </c>
      <c r="AK27" s="99">
        <f t="shared" si="12"/>
        <v>0</v>
      </c>
      <c r="AL27" s="99">
        <f t="shared" si="13"/>
        <v>0</v>
      </c>
      <c r="AN27" s="101">
        <v>21</v>
      </c>
      <c r="AO27" s="101">
        <f t="shared" si="14"/>
        <v>0</v>
      </c>
      <c r="AP27" s="101">
        <f t="shared" si="15"/>
        <v>0</v>
      </c>
      <c r="AQ27" s="100" t="s">
        <v>57</v>
      </c>
      <c r="AV27" s="101">
        <f t="shared" si="16"/>
        <v>0</v>
      </c>
      <c r="AW27" s="101">
        <f t="shared" si="17"/>
        <v>0</v>
      </c>
      <c r="AX27" s="101">
        <f t="shared" si="18"/>
        <v>0</v>
      </c>
      <c r="AY27" s="102" t="s">
        <v>366</v>
      </c>
      <c r="AZ27" s="102" t="s">
        <v>372</v>
      </c>
      <c r="BA27" s="93" t="s">
        <v>389</v>
      </c>
      <c r="BC27" s="101">
        <f t="shared" si="19"/>
        <v>0</v>
      </c>
      <c r="BD27" s="101">
        <f t="shared" si="20"/>
        <v>0</v>
      </c>
      <c r="BE27" s="101">
        <v>0</v>
      </c>
      <c r="BF27" s="101">
        <f>27</f>
        <v>27</v>
      </c>
      <c r="BH27" s="99">
        <f t="shared" si="21"/>
        <v>0</v>
      </c>
      <c r="BI27" s="99">
        <f t="shared" si="22"/>
        <v>0</v>
      </c>
      <c r="BJ27" s="99">
        <f t="shared" si="23"/>
        <v>0</v>
      </c>
    </row>
    <row r="28" spans="1:62" ht="12.75">
      <c r="A28" s="13" t="s">
        <v>71</v>
      </c>
      <c r="B28" s="13" t="s">
        <v>177</v>
      </c>
      <c r="C28" s="48" t="s">
        <v>246</v>
      </c>
      <c r="D28" s="49"/>
      <c r="E28" s="49"/>
      <c r="F28" s="13" t="s">
        <v>323</v>
      </c>
      <c r="G28" s="23">
        <v>4</v>
      </c>
      <c r="H28" s="99">
        <v>0</v>
      </c>
      <c r="I28" s="99">
        <f t="shared" si="0"/>
        <v>0</v>
      </c>
      <c r="J28" s="99">
        <f t="shared" si="1"/>
        <v>0</v>
      </c>
      <c r="K28" s="99">
        <f t="shared" si="2"/>
        <v>0</v>
      </c>
      <c r="L28" s="100" t="s">
        <v>344</v>
      </c>
      <c r="Z28" s="101">
        <f t="shared" si="3"/>
        <v>0</v>
      </c>
      <c r="AB28" s="101">
        <f t="shared" si="4"/>
        <v>0</v>
      </c>
      <c r="AC28" s="101">
        <f t="shared" si="5"/>
        <v>0</v>
      </c>
      <c r="AD28" s="101">
        <f t="shared" si="6"/>
        <v>0</v>
      </c>
      <c r="AE28" s="101">
        <f t="shared" si="7"/>
        <v>0</v>
      </c>
      <c r="AF28" s="101">
        <f t="shared" si="8"/>
        <v>0</v>
      </c>
      <c r="AG28" s="101">
        <f t="shared" si="9"/>
        <v>0</v>
      </c>
      <c r="AH28" s="101">
        <f t="shared" si="10"/>
        <v>0</v>
      </c>
      <c r="AI28" s="93" t="s">
        <v>356</v>
      </c>
      <c r="AJ28" s="99">
        <f t="shared" si="11"/>
        <v>0</v>
      </c>
      <c r="AK28" s="99">
        <f t="shared" si="12"/>
        <v>0</v>
      </c>
      <c r="AL28" s="99">
        <f t="shared" si="13"/>
        <v>0</v>
      </c>
      <c r="AN28" s="101">
        <v>21</v>
      </c>
      <c r="AO28" s="101">
        <f t="shared" si="14"/>
        <v>0</v>
      </c>
      <c r="AP28" s="101">
        <f t="shared" si="15"/>
        <v>0</v>
      </c>
      <c r="AQ28" s="100" t="s">
        <v>57</v>
      </c>
      <c r="AV28" s="101">
        <f t="shared" si="16"/>
        <v>0</v>
      </c>
      <c r="AW28" s="101">
        <f t="shared" si="17"/>
        <v>0</v>
      </c>
      <c r="AX28" s="101">
        <f t="shared" si="18"/>
        <v>0</v>
      </c>
      <c r="AY28" s="102" t="s">
        <v>366</v>
      </c>
      <c r="AZ28" s="102" t="s">
        <v>372</v>
      </c>
      <c r="BA28" s="93" t="s">
        <v>389</v>
      </c>
      <c r="BC28" s="101">
        <f t="shared" si="19"/>
        <v>0</v>
      </c>
      <c r="BD28" s="101">
        <f t="shared" si="20"/>
        <v>0</v>
      </c>
      <c r="BE28" s="101">
        <v>0</v>
      </c>
      <c r="BF28" s="101">
        <f>28</f>
        <v>28</v>
      </c>
      <c r="BH28" s="99">
        <f t="shared" si="21"/>
        <v>0</v>
      </c>
      <c r="BI28" s="99">
        <f t="shared" si="22"/>
        <v>0</v>
      </c>
      <c r="BJ28" s="99">
        <f t="shared" si="23"/>
        <v>0</v>
      </c>
    </row>
    <row r="29" spans="1:62" ht="12.75">
      <c r="A29" s="13" t="s">
        <v>72</v>
      </c>
      <c r="B29" s="13" t="s">
        <v>178</v>
      </c>
      <c r="C29" s="48" t="s">
        <v>247</v>
      </c>
      <c r="D29" s="49"/>
      <c r="E29" s="49"/>
      <c r="F29" s="13" t="s">
        <v>324</v>
      </c>
      <c r="G29" s="23">
        <v>887</v>
      </c>
      <c r="H29" s="99">
        <v>0</v>
      </c>
      <c r="I29" s="99">
        <f t="shared" si="0"/>
        <v>0</v>
      </c>
      <c r="J29" s="99">
        <f t="shared" si="1"/>
        <v>0</v>
      </c>
      <c r="K29" s="99">
        <f t="shared" si="2"/>
        <v>0</v>
      </c>
      <c r="L29" s="100" t="s">
        <v>345</v>
      </c>
      <c r="Z29" s="101">
        <f t="shared" si="3"/>
        <v>0</v>
      </c>
      <c r="AB29" s="101">
        <f t="shared" si="4"/>
        <v>0</v>
      </c>
      <c r="AC29" s="101">
        <f t="shared" si="5"/>
        <v>0</v>
      </c>
      <c r="AD29" s="101">
        <f t="shared" si="6"/>
        <v>0</v>
      </c>
      <c r="AE29" s="101">
        <f t="shared" si="7"/>
        <v>0</v>
      </c>
      <c r="AF29" s="101">
        <f t="shared" si="8"/>
        <v>0</v>
      </c>
      <c r="AG29" s="101">
        <f t="shared" si="9"/>
        <v>0</v>
      </c>
      <c r="AH29" s="101">
        <f t="shared" si="10"/>
        <v>0</v>
      </c>
      <c r="AI29" s="93" t="s">
        <v>356</v>
      </c>
      <c r="AJ29" s="99">
        <f t="shared" si="11"/>
        <v>0</v>
      </c>
      <c r="AK29" s="99">
        <f t="shared" si="12"/>
        <v>0</v>
      </c>
      <c r="AL29" s="99">
        <f t="shared" si="13"/>
        <v>0</v>
      </c>
      <c r="AN29" s="101">
        <v>21</v>
      </c>
      <c r="AO29" s="101">
        <f t="shared" si="14"/>
        <v>0</v>
      </c>
      <c r="AP29" s="101">
        <f t="shared" si="15"/>
        <v>0</v>
      </c>
      <c r="AQ29" s="100" t="s">
        <v>57</v>
      </c>
      <c r="AV29" s="101">
        <f t="shared" si="16"/>
        <v>0</v>
      </c>
      <c r="AW29" s="101">
        <f t="shared" si="17"/>
        <v>0</v>
      </c>
      <c r="AX29" s="101">
        <f t="shared" si="18"/>
        <v>0</v>
      </c>
      <c r="AY29" s="102" t="s">
        <v>366</v>
      </c>
      <c r="AZ29" s="102" t="s">
        <v>372</v>
      </c>
      <c r="BA29" s="93" t="s">
        <v>389</v>
      </c>
      <c r="BC29" s="101">
        <f t="shared" si="19"/>
        <v>0</v>
      </c>
      <c r="BD29" s="101">
        <f t="shared" si="20"/>
        <v>0</v>
      </c>
      <c r="BE29" s="101">
        <v>0</v>
      </c>
      <c r="BF29" s="101">
        <f>29</f>
        <v>29</v>
      </c>
      <c r="BH29" s="99">
        <f t="shared" si="21"/>
        <v>0</v>
      </c>
      <c r="BI29" s="99">
        <f t="shared" si="22"/>
        <v>0</v>
      </c>
      <c r="BJ29" s="99">
        <f t="shared" si="23"/>
        <v>0</v>
      </c>
    </row>
    <row r="30" spans="1:62" ht="12.75">
      <c r="A30" s="13" t="s">
        <v>73</v>
      </c>
      <c r="B30" s="13" t="s">
        <v>179</v>
      </c>
      <c r="C30" s="48" t="s">
        <v>248</v>
      </c>
      <c r="D30" s="49"/>
      <c r="E30" s="49"/>
      <c r="F30" s="13" t="s">
        <v>325</v>
      </c>
      <c r="G30" s="23">
        <v>1238</v>
      </c>
      <c r="H30" s="99">
        <v>0</v>
      </c>
      <c r="I30" s="99">
        <f t="shared" si="0"/>
        <v>0</v>
      </c>
      <c r="J30" s="99">
        <f t="shared" si="1"/>
        <v>0</v>
      </c>
      <c r="K30" s="99">
        <f t="shared" si="2"/>
        <v>0</v>
      </c>
      <c r="L30" s="100" t="s">
        <v>346</v>
      </c>
      <c r="Z30" s="101">
        <f t="shared" si="3"/>
        <v>0</v>
      </c>
      <c r="AB30" s="101">
        <f t="shared" si="4"/>
        <v>0</v>
      </c>
      <c r="AC30" s="101">
        <f t="shared" si="5"/>
        <v>0</v>
      </c>
      <c r="AD30" s="101">
        <f t="shared" si="6"/>
        <v>0</v>
      </c>
      <c r="AE30" s="101">
        <f t="shared" si="7"/>
        <v>0</v>
      </c>
      <c r="AF30" s="101">
        <f t="shared" si="8"/>
        <v>0</v>
      </c>
      <c r="AG30" s="101">
        <f t="shared" si="9"/>
        <v>0</v>
      </c>
      <c r="AH30" s="101">
        <f t="shared" si="10"/>
        <v>0</v>
      </c>
      <c r="AI30" s="93" t="s">
        <v>356</v>
      </c>
      <c r="AJ30" s="99">
        <f t="shared" si="11"/>
        <v>0</v>
      </c>
      <c r="AK30" s="99">
        <f t="shared" si="12"/>
        <v>0</v>
      </c>
      <c r="AL30" s="99">
        <f t="shared" si="13"/>
        <v>0</v>
      </c>
      <c r="AN30" s="101">
        <v>21</v>
      </c>
      <c r="AO30" s="101">
        <f t="shared" si="14"/>
        <v>0</v>
      </c>
      <c r="AP30" s="101">
        <f t="shared" si="15"/>
        <v>0</v>
      </c>
      <c r="AQ30" s="100" t="s">
        <v>57</v>
      </c>
      <c r="AV30" s="101">
        <f t="shared" si="16"/>
        <v>0</v>
      </c>
      <c r="AW30" s="101">
        <f t="shared" si="17"/>
        <v>0</v>
      </c>
      <c r="AX30" s="101">
        <f t="shared" si="18"/>
        <v>0</v>
      </c>
      <c r="AY30" s="102" t="s">
        <v>366</v>
      </c>
      <c r="AZ30" s="102" t="s">
        <v>372</v>
      </c>
      <c r="BA30" s="93" t="s">
        <v>389</v>
      </c>
      <c r="BC30" s="101">
        <f t="shared" si="19"/>
        <v>0</v>
      </c>
      <c r="BD30" s="101">
        <f t="shared" si="20"/>
        <v>0</v>
      </c>
      <c r="BE30" s="101">
        <v>0</v>
      </c>
      <c r="BF30" s="101">
        <f>30</f>
        <v>30</v>
      </c>
      <c r="BH30" s="99">
        <f t="shared" si="21"/>
        <v>0</v>
      </c>
      <c r="BI30" s="99">
        <f t="shared" si="22"/>
        <v>0</v>
      </c>
      <c r="BJ30" s="99">
        <f t="shared" si="23"/>
        <v>0</v>
      </c>
    </row>
    <row r="31" spans="1:12" ht="12.75">
      <c r="A31" s="14"/>
      <c r="B31" s="21"/>
      <c r="C31" s="50" t="s">
        <v>249</v>
      </c>
      <c r="D31" s="51"/>
      <c r="E31" s="51"/>
      <c r="F31" s="14" t="s">
        <v>56</v>
      </c>
      <c r="G31" s="14" t="s">
        <v>56</v>
      </c>
      <c r="H31" s="103" t="s">
        <v>56</v>
      </c>
      <c r="I31" s="104">
        <f>I32</f>
        <v>0</v>
      </c>
      <c r="J31" s="104">
        <f>J32</f>
        <v>0</v>
      </c>
      <c r="K31" s="104">
        <f>K32</f>
        <v>0</v>
      </c>
      <c r="L31" s="105"/>
    </row>
    <row r="32" spans="1:47" ht="12.75">
      <c r="A32" s="12"/>
      <c r="B32" s="20" t="s">
        <v>67</v>
      </c>
      <c r="C32" s="46" t="s">
        <v>231</v>
      </c>
      <c r="D32" s="47"/>
      <c r="E32" s="47"/>
      <c r="F32" s="12" t="s">
        <v>56</v>
      </c>
      <c r="G32" s="12" t="s">
        <v>56</v>
      </c>
      <c r="H32" s="97" t="s">
        <v>56</v>
      </c>
      <c r="I32" s="98">
        <f>SUM(I33:I51)</f>
        <v>0</v>
      </c>
      <c r="J32" s="98">
        <f>SUM(J33:J51)</f>
        <v>0</v>
      </c>
      <c r="K32" s="98">
        <f>SUM(K33:K51)</f>
        <v>0</v>
      </c>
      <c r="L32" s="93"/>
      <c r="AI32" s="93" t="s">
        <v>357</v>
      </c>
      <c r="AS32" s="98">
        <f>SUM(AJ33:AJ51)</f>
        <v>0</v>
      </c>
      <c r="AT32" s="98">
        <f>SUM(AK33:AK51)</f>
        <v>0</v>
      </c>
      <c r="AU32" s="98">
        <f>SUM(AL33:AL51)</f>
        <v>0</v>
      </c>
    </row>
    <row r="33" spans="1:62" ht="12.75">
      <c r="A33" s="13" t="s">
        <v>74</v>
      </c>
      <c r="B33" s="13" t="s">
        <v>163</v>
      </c>
      <c r="C33" s="48" t="s">
        <v>232</v>
      </c>
      <c r="D33" s="49"/>
      <c r="E33" s="49"/>
      <c r="F33" s="13" t="s">
        <v>323</v>
      </c>
      <c r="G33" s="23">
        <v>8</v>
      </c>
      <c r="H33" s="99">
        <v>0</v>
      </c>
      <c r="I33" s="99">
        <f aca="true" t="shared" si="24" ref="I33:I51">G33*AO33</f>
        <v>0</v>
      </c>
      <c r="J33" s="99">
        <f aca="true" t="shared" si="25" ref="J33:J51">G33*AP33</f>
        <v>0</v>
      </c>
      <c r="K33" s="99">
        <f aca="true" t="shared" si="26" ref="K33:K51">G33*H33</f>
        <v>0</v>
      </c>
      <c r="L33" s="100" t="s">
        <v>344</v>
      </c>
      <c r="Z33" s="101">
        <f aca="true" t="shared" si="27" ref="Z33:Z51">IF(AQ33="5",BJ33,0)</f>
        <v>0</v>
      </c>
      <c r="AB33" s="101">
        <f aca="true" t="shared" si="28" ref="AB33:AB51">IF(AQ33="1",BH33,0)</f>
        <v>0</v>
      </c>
      <c r="AC33" s="101">
        <f aca="true" t="shared" si="29" ref="AC33:AC51">IF(AQ33="1",BI33,0)</f>
        <v>0</v>
      </c>
      <c r="AD33" s="101">
        <f aca="true" t="shared" si="30" ref="AD33:AD51">IF(AQ33="7",BH33,0)</f>
        <v>0</v>
      </c>
      <c r="AE33" s="101">
        <f aca="true" t="shared" si="31" ref="AE33:AE51">IF(AQ33="7",BI33,0)</f>
        <v>0</v>
      </c>
      <c r="AF33" s="101">
        <f aca="true" t="shared" si="32" ref="AF33:AF51">IF(AQ33="2",BH33,0)</f>
        <v>0</v>
      </c>
      <c r="AG33" s="101">
        <f aca="true" t="shared" si="33" ref="AG33:AG51">IF(AQ33="2",BI33,0)</f>
        <v>0</v>
      </c>
      <c r="AH33" s="101">
        <f aca="true" t="shared" si="34" ref="AH33:AH51">IF(AQ33="0",BJ33,0)</f>
        <v>0</v>
      </c>
      <c r="AI33" s="93" t="s">
        <v>357</v>
      </c>
      <c r="AJ33" s="99">
        <f aca="true" t="shared" si="35" ref="AJ33:AJ51">IF(AN33=0,K33,0)</f>
        <v>0</v>
      </c>
      <c r="AK33" s="99">
        <f aca="true" t="shared" si="36" ref="AK33:AK51">IF(AN33=15,K33,0)</f>
        <v>0</v>
      </c>
      <c r="AL33" s="99">
        <f aca="true" t="shared" si="37" ref="AL33:AL51">IF(AN33=21,K33,0)</f>
        <v>0</v>
      </c>
      <c r="AN33" s="101">
        <v>21</v>
      </c>
      <c r="AO33" s="101">
        <f aca="true" t="shared" si="38" ref="AO33:AO51">H33*0</f>
        <v>0</v>
      </c>
      <c r="AP33" s="101">
        <f aca="true" t="shared" si="39" ref="AP33:AP51">H33*(1-0)</f>
        <v>0</v>
      </c>
      <c r="AQ33" s="100" t="s">
        <v>57</v>
      </c>
      <c r="AV33" s="101">
        <f aca="true" t="shared" si="40" ref="AV33:AV51">AW33+AX33</f>
        <v>0</v>
      </c>
      <c r="AW33" s="101">
        <f aca="true" t="shared" si="41" ref="AW33:AW51">G33*AO33</f>
        <v>0</v>
      </c>
      <c r="AX33" s="101">
        <f aca="true" t="shared" si="42" ref="AX33:AX51">G33*AP33</f>
        <v>0</v>
      </c>
      <c r="AY33" s="102" t="s">
        <v>366</v>
      </c>
      <c r="AZ33" s="102" t="s">
        <v>373</v>
      </c>
      <c r="BA33" s="93" t="s">
        <v>390</v>
      </c>
      <c r="BC33" s="101">
        <f aca="true" t="shared" si="43" ref="BC33:BC51">AW33+AX33</f>
        <v>0</v>
      </c>
      <c r="BD33" s="101">
        <f aca="true" t="shared" si="44" ref="BD33:BD51">H33/(100-BE33)*100</f>
        <v>0</v>
      </c>
      <c r="BE33" s="101">
        <v>0</v>
      </c>
      <c r="BF33" s="101">
        <f>33</f>
        <v>33</v>
      </c>
      <c r="BH33" s="99">
        <f aca="true" t="shared" si="45" ref="BH33:BH51">G33*AO33</f>
        <v>0</v>
      </c>
      <c r="BI33" s="99">
        <f aca="true" t="shared" si="46" ref="BI33:BI51">G33*AP33</f>
        <v>0</v>
      </c>
      <c r="BJ33" s="99">
        <f aca="true" t="shared" si="47" ref="BJ33:BJ51">G33*H33</f>
        <v>0</v>
      </c>
    </row>
    <row r="34" spans="1:62" ht="12.75">
      <c r="A34" s="13" t="s">
        <v>75</v>
      </c>
      <c r="B34" s="13" t="s">
        <v>164</v>
      </c>
      <c r="C34" s="48" t="s">
        <v>233</v>
      </c>
      <c r="D34" s="49"/>
      <c r="E34" s="49"/>
      <c r="F34" s="13" t="s">
        <v>323</v>
      </c>
      <c r="G34" s="23">
        <v>3</v>
      </c>
      <c r="H34" s="99">
        <v>0</v>
      </c>
      <c r="I34" s="99">
        <f t="shared" si="24"/>
        <v>0</v>
      </c>
      <c r="J34" s="99">
        <f t="shared" si="25"/>
        <v>0</v>
      </c>
      <c r="K34" s="99">
        <f t="shared" si="26"/>
        <v>0</v>
      </c>
      <c r="L34" s="100" t="s">
        <v>344</v>
      </c>
      <c r="Z34" s="101">
        <f t="shared" si="27"/>
        <v>0</v>
      </c>
      <c r="AB34" s="101">
        <f t="shared" si="28"/>
        <v>0</v>
      </c>
      <c r="AC34" s="101">
        <f t="shared" si="29"/>
        <v>0</v>
      </c>
      <c r="AD34" s="101">
        <f t="shared" si="30"/>
        <v>0</v>
      </c>
      <c r="AE34" s="101">
        <f t="shared" si="31"/>
        <v>0</v>
      </c>
      <c r="AF34" s="101">
        <f t="shared" si="32"/>
        <v>0</v>
      </c>
      <c r="AG34" s="101">
        <f t="shared" si="33"/>
        <v>0</v>
      </c>
      <c r="AH34" s="101">
        <f t="shared" si="34"/>
        <v>0</v>
      </c>
      <c r="AI34" s="93" t="s">
        <v>357</v>
      </c>
      <c r="AJ34" s="99">
        <f t="shared" si="35"/>
        <v>0</v>
      </c>
      <c r="AK34" s="99">
        <f t="shared" si="36"/>
        <v>0</v>
      </c>
      <c r="AL34" s="99">
        <f t="shared" si="37"/>
        <v>0</v>
      </c>
      <c r="AN34" s="101">
        <v>21</v>
      </c>
      <c r="AO34" s="101">
        <f t="shared" si="38"/>
        <v>0</v>
      </c>
      <c r="AP34" s="101">
        <f t="shared" si="39"/>
        <v>0</v>
      </c>
      <c r="AQ34" s="100" t="s">
        <v>57</v>
      </c>
      <c r="AV34" s="101">
        <f t="shared" si="40"/>
        <v>0</v>
      </c>
      <c r="AW34" s="101">
        <f t="shared" si="41"/>
        <v>0</v>
      </c>
      <c r="AX34" s="101">
        <f t="shared" si="42"/>
        <v>0</v>
      </c>
      <c r="AY34" s="102" t="s">
        <v>366</v>
      </c>
      <c r="AZ34" s="102" t="s">
        <v>373</v>
      </c>
      <c r="BA34" s="93" t="s">
        <v>390</v>
      </c>
      <c r="BC34" s="101">
        <f t="shared" si="43"/>
        <v>0</v>
      </c>
      <c r="BD34" s="101">
        <f t="shared" si="44"/>
        <v>0</v>
      </c>
      <c r="BE34" s="101">
        <v>0</v>
      </c>
      <c r="BF34" s="101">
        <f>34</f>
        <v>34</v>
      </c>
      <c r="BH34" s="99">
        <f t="shared" si="45"/>
        <v>0</v>
      </c>
      <c r="BI34" s="99">
        <f t="shared" si="46"/>
        <v>0</v>
      </c>
      <c r="BJ34" s="99">
        <f t="shared" si="47"/>
        <v>0</v>
      </c>
    </row>
    <row r="35" spans="1:62" ht="12.75">
      <c r="A35" s="13" t="s">
        <v>76</v>
      </c>
      <c r="B35" s="13" t="s">
        <v>165</v>
      </c>
      <c r="C35" s="48" t="s">
        <v>234</v>
      </c>
      <c r="D35" s="49"/>
      <c r="E35" s="49"/>
      <c r="F35" s="13" t="s">
        <v>323</v>
      </c>
      <c r="G35" s="23">
        <v>8</v>
      </c>
      <c r="H35" s="99">
        <v>0</v>
      </c>
      <c r="I35" s="99">
        <f t="shared" si="24"/>
        <v>0</v>
      </c>
      <c r="J35" s="99">
        <f t="shared" si="25"/>
        <v>0</v>
      </c>
      <c r="K35" s="99">
        <f t="shared" si="26"/>
        <v>0</v>
      </c>
      <c r="L35" s="100" t="s">
        <v>344</v>
      </c>
      <c r="Z35" s="101">
        <f t="shared" si="27"/>
        <v>0</v>
      </c>
      <c r="AB35" s="101">
        <f t="shared" si="28"/>
        <v>0</v>
      </c>
      <c r="AC35" s="101">
        <f t="shared" si="29"/>
        <v>0</v>
      </c>
      <c r="AD35" s="101">
        <f t="shared" si="30"/>
        <v>0</v>
      </c>
      <c r="AE35" s="101">
        <f t="shared" si="31"/>
        <v>0</v>
      </c>
      <c r="AF35" s="101">
        <f t="shared" si="32"/>
        <v>0</v>
      </c>
      <c r="AG35" s="101">
        <f t="shared" si="33"/>
        <v>0</v>
      </c>
      <c r="AH35" s="101">
        <f t="shared" si="34"/>
        <v>0</v>
      </c>
      <c r="AI35" s="93" t="s">
        <v>357</v>
      </c>
      <c r="AJ35" s="99">
        <f t="shared" si="35"/>
        <v>0</v>
      </c>
      <c r="AK35" s="99">
        <f t="shared" si="36"/>
        <v>0</v>
      </c>
      <c r="AL35" s="99">
        <f t="shared" si="37"/>
        <v>0</v>
      </c>
      <c r="AN35" s="101">
        <v>21</v>
      </c>
      <c r="AO35" s="101">
        <f t="shared" si="38"/>
        <v>0</v>
      </c>
      <c r="AP35" s="101">
        <f t="shared" si="39"/>
        <v>0</v>
      </c>
      <c r="AQ35" s="100" t="s">
        <v>57</v>
      </c>
      <c r="AV35" s="101">
        <f t="shared" si="40"/>
        <v>0</v>
      </c>
      <c r="AW35" s="101">
        <f t="shared" si="41"/>
        <v>0</v>
      </c>
      <c r="AX35" s="101">
        <f t="shared" si="42"/>
        <v>0</v>
      </c>
      <c r="AY35" s="102" t="s">
        <v>366</v>
      </c>
      <c r="AZ35" s="102" t="s">
        <v>373</v>
      </c>
      <c r="BA35" s="93" t="s">
        <v>390</v>
      </c>
      <c r="BC35" s="101">
        <f t="shared" si="43"/>
        <v>0</v>
      </c>
      <c r="BD35" s="101">
        <f t="shared" si="44"/>
        <v>0</v>
      </c>
      <c r="BE35" s="101">
        <v>0</v>
      </c>
      <c r="BF35" s="101">
        <f>35</f>
        <v>35</v>
      </c>
      <c r="BH35" s="99">
        <f t="shared" si="45"/>
        <v>0</v>
      </c>
      <c r="BI35" s="99">
        <f t="shared" si="46"/>
        <v>0</v>
      </c>
      <c r="BJ35" s="99">
        <f t="shared" si="47"/>
        <v>0</v>
      </c>
    </row>
    <row r="36" spans="1:62" ht="12.75">
      <c r="A36" s="13" t="s">
        <v>77</v>
      </c>
      <c r="B36" s="13" t="s">
        <v>166</v>
      </c>
      <c r="C36" s="48" t="s">
        <v>235</v>
      </c>
      <c r="D36" s="49"/>
      <c r="E36" s="49"/>
      <c r="F36" s="13" t="s">
        <v>323</v>
      </c>
      <c r="G36" s="23">
        <v>6</v>
      </c>
      <c r="H36" s="99">
        <v>0</v>
      </c>
      <c r="I36" s="99">
        <f t="shared" si="24"/>
        <v>0</v>
      </c>
      <c r="J36" s="99">
        <f t="shared" si="25"/>
        <v>0</v>
      </c>
      <c r="K36" s="99">
        <f t="shared" si="26"/>
        <v>0</v>
      </c>
      <c r="L36" s="100" t="s">
        <v>344</v>
      </c>
      <c r="Z36" s="101">
        <f t="shared" si="27"/>
        <v>0</v>
      </c>
      <c r="AB36" s="101">
        <f t="shared" si="28"/>
        <v>0</v>
      </c>
      <c r="AC36" s="101">
        <f t="shared" si="29"/>
        <v>0</v>
      </c>
      <c r="AD36" s="101">
        <f t="shared" si="30"/>
        <v>0</v>
      </c>
      <c r="AE36" s="101">
        <f t="shared" si="31"/>
        <v>0</v>
      </c>
      <c r="AF36" s="101">
        <f t="shared" si="32"/>
        <v>0</v>
      </c>
      <c r="AG36" s="101">
        <f t="shared" si="33"/>
        <v>0</v>
      </c>
      <c r="AH36" s="101">
        <f t="shared" si="34"/>
        <v>0</v>
      </c>
      <c r="AI36" s="93" t="s">
        <v>357</v>
      </c>
      <c r="AJ36" s="99">
        <f t="shared" si="35"/>
        <v>0</v>
      </c>
      <c r="AK36" s="99">
        <f t="shared" si="36"/>
        <v>0</v>
      </c>
      <c r="AL36" s="99">
        <f t="shared" si="37"/>
        <v>0</v>
      </c>
      <c r="AN36" s="101">
        <v>21</v>
      </c>
      <c r="AO36" s="101">
        <f t="shared" si="38"/>
        <v>0</v>
      </c>
      <c r="AP36" s="101">
        <f t="shared" si="39"/>
        <v>0</v>
      </c>
      <c r="AQ36" s="100" t="s">
        <v>57</v>
      </c>
      <c r="AV36" s="101">
        <f t="shared" si="40"/>
        <v>0</v>
      </c>
      <c r="AW36" s="101">
        <f t="shared" si="41"/>
        <v>0</v>
      </c>
      <c r="AX36" s="101">
        <f t="shared" si="42"/>
        <v>0</v>
      </c>
      <c r="AY36" s="102" t="s">
        <v>366</v>
      </c>
      <c r="AZ36" s="102" t="s">
        <v>373</v>
      </c>
      <c r="BA36" s="93" t="s">
        <v>390</v>
      </c>
      <c r="BC36" s="101">
        <f t="shared" si="43"/>
        <v>0</v>
      </c>
      <c r="BD36" s="101">
        <f t="shared" si="44"/>
        <v>0</v>
      </c>
      <c r="BE36" s="101">
        <v>0</v>
      </c>
      <c r="BF36" s="101">
        <f>36</f>
        <v>36</v>
      </c>
      <c r="BH36" s="99">
        <f t="shared" si="45"/>
        <v>0</v>
      </c>
      <c r="BI36" s="99">
        <f t="shared" si="46"/>
        <v>0</v>
      </c>
      <c r="BJ36" s="99">
        <f t="shared" si="47"/>
        <v>0</v>
      </c>
    </row>
    <row r="37" spans="1:62" ht="12.75">
      <c r="A37" s="13" t="s">
        <v>78</v>
      </c>
      <c r="B37" s="13" t="s">
        <v>167</v>
      </c>
      <c r="C37" s="48" t="s">
        <v>236</v>
      </c>
      <c r="D37" s="49"/>
      <c r="E37" s="49"/>
      <c r="F37" s="13" t="s">
        <v>323</v>
      </c>
      <c r="G37" s="23">
        <v>10</v>
      </c>
      <c r="H37" s="99">
        <v>0</v>
      </c>
      <c r="I37" s="99">
        <f t="shared" si="24"/>
        <v>0</v>
      </c>
      <c r="J37" s="99">
        <f t="shared" si="25"/>
        <v>0</v>
      </c>
      <c r="K37" s="99">
        <f t="shared" si="26"/>
        <v>0</v>
      </c>
      <c r="L37" s="100" t="s">
        <v>344</v>
      </c>
      <c r="Z37" s="101">
        <f t="shared" si="27"/>
        <v>0</v>
      </c>
      <c r="AB37" s="101">
        <f t="shared" si="28"/>
        <v>0</v>
      </c>
      <c r="AC37" s="101">
        <f t="shared" si="29"/>
        <v>0</v>
      </c>
      <c r="AD37" s="101">
        <f t="shared" si="30"/>
        <v>0</v>
      </c>
      <c r="AE37" s="101">
        <f t="shared" si="31"/>
        <v>0</v>
      </c>
      <c r="AF37" s="101">
        <f t="shared" si="32"/>
        <v>0</v>
      </c>
      <c r="AG37" s="101">
        <f t="shared" si="33"/>
        <v>0</v>
      </c>
      <c r="AH37" s="101">
        <f t="shared" si="34"/>
        <v>0</v>
      </c>
      <c r="AI37" s="93" t="s">
        <v>357</v>
      </c>
      <c r="AJ37" s="99">
        <f t="shared" si="35"/>
        <v>0</v>
      </c>
      <c r="AK37" s="99">
        <f t="shared" si="36"/>
        <v>0</v>
      </c>
      <c r="AL37" s="99">
        <f t="shared" si="37"/>
        <v>0</v>
      </c>
      <c r="AN37" s="101">
        <v>21</v>
      </c>
      <c r="AO37" s="101">
        <f t="shared" si="38"/>
        <v>0</v>
      </c>
      <c r="AP37" s="101">
        <f t="shared" si="39"/>
        <v>0</v>
      </c>
      <c r="AQ37" s="100" t="s">
        <v>57</v>
      </c>
      <c r="AV37" s="101">
        <f t="shared" si="40"/>
        <v>0</v>
      </c>
      <c r="AW37" s="101">
        <f t="shared" si="41"/>
        <v>0</v>
      </c>
      <c r="AX37" s="101">
        <f t="shared" si="42"/>
        <v>0</v>
      </c>
      <c r="AY37" s="102" t="s">
        <v>366</v>
      </c>
      <c r="AZ37" s="102" t="s">
        <v>373</v>
      </c>
      <c r="BA37" s="93" t="s">
        <v>390</v>
      </c>
      <c r="BC37" s="101">
        <f t="shared" si="43"/>
        <v>0</v>
      </c>
      <c r="BD37" s="101">
        <f t="shared" si="44"/>
        <v>0</v>
      </c>
      <c r="BE37" s="101">
        <v>0</v>
      </c>
      <c r="BF37" s="101">
        <f>37</f>
        <v>37</v>
      </c>
      <c r="BH37" s="99">
        <f t="shared" si="45"/>
        <v>0</v>
      </c>
      <c r="BI37" s="99">
        <f t="shared" si="46"/>
        <v>0</v>
      </c>
      <c r="BJ37" s="99">
        <f t="shared" si="47"/>
        <v>0</v>
      </c>
    </row>
    <row r="38" spans="1:62" ht="12.75">
      <c r="A38" s="13" t="s">
        <v>79</v>
      </c>
      <c r="B38" s="13" t="s">
        <v>168</v>
      </c>
      <c r="C38" s="48" t="s">
        <v>237</v>
      </c>
      <c r="D38" s="49"/>
      <c r="E38" s="49"/>
      <c r="F38" s="13" t="s">
        <v>323</v>
      </c>
      <c r="G38" s="23">
        <v>15</v>
      </c>
      <c r="H38" s="99">
        <v>0</v>
      </c>
      <c r="I38" s="99">
        <f t="shared" si="24"/>
        <v>0</v>
      </c>
      <c r="J38" s="99">
        <f t="shared" si="25"/>
        <v>0</v>
      </c>
      <c r="K38" s="99">
        <f t="shared" si="26"/>
        <v>0</v>
      </c>
      <c r="L38" s="100" t="s">
        <v>344</v>
      </c>
      <c r="Z38" s="101">
        <f t="shared" si="27"/>
        <v>0</v>
      </c>
      <c r="AB38" s="101">
        <f t="shared" si="28"/>
        <v>0</v>
      </c>
      <c r="AC38" s="101">
        <f t="shared" si="29"/>
        <v>0</v>
      </c>
      <c r="AD38" s="101">
        <f t="shared" si="30"/>
        <v>0</v>
      </c>
      <c r="AE38" s="101">
        <f t="shared" si="31"/>
        <v>0</v>
      </c>
      <c r="AF38" s="101">
        <f t="shared" si="32"/>
        <v>0</v>
      </c>
      <c r="AG38" s="101">
        <f t="shared" si="33"/>
        <v>0</v>
      </c>
      <c r="AH38" s="101">
        <f t="shared" si="34"/>
        <v>0</v>
      </c>
      <c r="AI38" s="93" t="s">
        <v>357</v>
      </c>
      <c r="AJ38" s="99">
        <f t="shared" si="35"/>
        <v>0</v>
      </c>
      <c r="AK38" s="99">
        <f t="shared" si="36"/>
        <v>0</v>
      </c>
      <c r="AL38" s="99">
        <f t="shared" si="37"/>
        <v>0</v>
      </c>
      <c r="AN38" s="101">
        <v>21</v>
      </c>
      <c r="AO38" s="101">
        <f t="shared" si="38"/>
        <v>0</v>
      </c>
      <c r="AP38" s="101">
        <f t="shared" si="39"/>
        <v>0</v>
      </c>
      <c r="AQ38" s="100" t="s">
        <v>57</v>
      </c>
      <c r="AV38" s="101">
        <f t="shared" si="40"/>
        <v>0</v>
      </c>
      <c r="AW38" s="101">
        <f t="shared" si="41"/>
        <v>0</v>
      </c>
      <c r="AX38" s="101">
        <f t="shared" si="42"/>
        <v>0</v>
      </c>
      <c r="AY38" s="102" t="s">
        <v>366</v>
      </c>
      <c r="AZ38" s="102" t="s">
        <v>373</v>
      </c>
      <c r="BA38" s="93" t="s">
        <v>390</v>
      </c>
      <c r="BC38" s="101">
        <f t="shared" si="43"/>
        <v>0</v>
      </c>
      <c r="BD38" s="101">
        <f t="shared" si="44"/>
        <v>0</v>
      </c>
      <c r="BE38" s="101">
        <v>0</v>
      </c>
      <c r="BF38" s="101">
        <f>38</f>
        <v>38</v>
      </c>
      <c r="BH38" s="99">
        <f t="shared" si="45"/>
        <v>0</v>
      </c>
      <c r="BI38" s="99">
        <f t="shared" si="46"/>
        <v>0</v>
      </c>
      <c r="BJ38" s="99">
        <f t="shared" si="47"/>
        <v>0</v>
      </c>
    </row>
    <row r="39" spans="1:62" ht="12.75">
      <c r="A39" s="13" t="s">
        <v>80</v>
      </c>
      <c r="B39" s="13" t="s">
        <v>169</v>
      </c>
      <c r="C39" s="48" t="s">
        <v>238</v>
      </c>
      <c r="D39" s="49"/>
      <c r="E39" s="49"/>
      <c r="F39" s="13" t="s">
        <v>323</v>
      </c>
      <c r="G39" s="23">
        <v>14</v>
      </c>
      <c r="H39" s="99">
        <v>0</v>
      </c>
      <c r="I39" s="99">
        <f t="shared" si="24"/>
        <v>0</v>
      </c>
      <c r="J39" s="99">
        <f t="shared" si="25"/>
        <v>0</v>
      </c>
      <c r="K39" s="99">
        <f t="shared" si="26"/>
        <v>0</v>
      </c>
      <c r="L39" s="100" t="s">
        <v>344</v>
      </c>
      <c r="Z39" s="101">
        <f t="shared" si="27"/>
        <v>0</v>
      </c>
      <c r="AB39" s="101">
        <f t="shared" si="28"/>
        <v>0</v>
      </c>
      <c r="AC39" s="101">
        <f t="shared" si="29"/>
        <v>0</v>
      </c>
      <c r="AD39" s="101">
        <f t="shared" si="30"/>
        <v>0</v>
      </c>
      <c r="AE39" s="101">
        <f t="shared" si="31"/>
        <v>0</v>
      </c>
      <c r="AF39" s="101">
        <f t="shared" si="32"/>
        <v>0</v>
      </c>
      <c r="AG39" s="101">
        <f t="shared" si="33"/>
        <v>0</v>
      </c>
      <c r="AH39" s="101">
        <f t="shared" si="34"/>
        <v>0</v>
      </c>
      <c r="AI39" s="93" t="s">
        <v>357</v>
      </c>
      <c r="AJ39" s="99">
        <f t="shared" si="35"/>
        <v>0</v>
      </c>
      <c r="AK39" s="99">
        <f t="shared" si="36"/>
        <v>0</v>
      </c>
      <c r="AL39" s="99">
        <f t="shared" si="37"/>
        <v>0</v>
      </c>
      <c r="AN39" s="101">
        <v>21</v>
      </c>
      <c r="AO39" s="101">
        <f t="shared" si="38"/>
        <v>0</v>
      </c>
      <c r="AP39" s="101">
        <f t="shared" si="39"/>
        <v>0</v>
      </c>
      <c r="AQ39" s="100" t="s">
        <v>57</v>
      </c>
      <c r="AV39" s="101">
        <f t="shared" si="40"/>
        <v>0</v>
      </c>
      <c r="AW39" s="101">
        <f t="shared" si="41"/>
        <v>0</v>
      </c>
      <c r="AX39" s="101">
        <f t="shared" si="42"/>
        <v>0</v>
      </c>
      <c r="AY39" s="102" t="s">
        <v>366</v>
      </c>
      <c r="AZ39" s="102" t="s">
        <v>373</v>
      </c>
      <c r="BA39" s="93" t="s">
        <v>390</v>
      </c>
      <c r="BC39" s="101">
        <f t="shared" si="43"/>
        <v>0</v>
      </c>
      <c r="BD39" s="101">
        <f t="shared" si="44"/>
        <v>0</v>
      </c>
      <c r="BE39" s="101">
        <v>0</v>
      </c>
      <c r="BF39" s="101">
        <f>39</f>
        <v>39</v>
      </c>
      <c r="BH39" s="99">
        <f t="shared" si="45"/>
        <v>0</v>
      </c>
      <c r="BI39" s="99">
        <f t="shared" si="46"/>
        <v>0</v>
      </c>
      <c r="BJ39" s="99">
        <f t="shared" si="47"/>
        <v>0</v>
      </c>
    </row>
    <row r="40" spans="1:62" ht="12.75">
      <c r="A40" s="13" t="s">
        <v>81</v>
      </c>
      <c r="B40" s="13" t="s">
        <v>170</v>
      </c>
      <c r="C40" s="48" t="s">
        <v>239</v>
      </c>
      <c r="D40" s="49"/>
      <c r="E40" s="49"/>
      <c r="F40" s="13" t="s">
        <v>323</v>
      </c>
      <c r="G40" s="23">
        <v>8</v>
      </c>
      <c r="H40" s="99">
        <v>0</v>
      </c>
      <c r="I40" s="99">
        <f t="shared" si="24"/>
        <v>0</v>
      </c>
      <c r="J40" s="99">
        <f t="shared" si="25"/>
        <v>0</v>
      </c>
      <c r="K40" s="99">
        <f t="shared" si="26"/>
        <v>0</v>
      </c>
      <c r="L40" s="100" t="s">
        <v>344</v>
      </c>
      <c r="Z40" s="101">
        <f t="shared" si="27"/>
        <v>0</v>
      </c>
      <c r="AB40" s="101">
        <f t="shared" si="28"/>
        <v>0</v>
      </c>
      <c r="AC40" s="101">
        <f t="shared" si="29"/>
        <v>0</v>
      </c>
      <c r="AD40" s="101">
        <f t="shared" si="30"/>
        <v>0</v>
      </c>
      <c r="AE40" s="101">
        <f t="shared" si="31"/>
        <v>0</v>
      </c>
      <c r="AF40" s="101">
        <f t="shared" si="32"/>
        <v>0</v>
      </c>
      <c r="AG40" s="101">
        <f t="shared" si="33"/>
        <v>0</v>
      </c>
      <c r="AH40" s="101">
        <f t="shared" si="34"/>
        <v>0</v>
      </c>
      <c r="AI40" s="93" t="s">
        <v>357</v>
      </c>
      <c r="AJ40" s="99">
        <f t="shared" si="35"/>
        <v>0</v>
      </c>
      <c r="AK40" s="99">
        <f t="shared" si="36"/>
        <v>0</v>
      </c>
      <c r="AL40" s="99">
        <f t="shared" si="37"/>
        <v>0</v>
      </c>
      <c r="AN40" s="101">
        <v>21</v>
      </c>
      <c r="AO40" s="101">
        <f t="shared" si="38"/>
        <v>0</v>
      </c>
      <c r="AP40" s="101">
        <f t="shared" si="39"/>
        <v>0</v>
      </c>
      <c r="AQ40" s="100" t="s">
        <v>57</v>
      </c>
      <c r="AV40" s="101">
        <f t="shared" si="40"/>
        <v>0</v>
      </c>
      <c r="AW40" s="101">
        <f t="shared" si="41"/>
        <v>0</v>
      </c>
      <c r="AX40" s="101">
        <f t="shared" si="42"/>
        <v>0</v>
      </c>
      <c r="AY40" s="102" t="s">
        <v>366</v>
      </c>
      <c r="AZ40" s="102" t="s">
        <v>373</v>
      </c>
      <c r="BA40" s="93" t="s">
        <v>390</v>
      </c>
      <c r="BC40" s="101">
        <f t="shared" si="43"/>
        <v>0</v>
      </c>
      <c r="BD40" s="101">
        <f t="shared" si="44"/>
        <v>0</v>
      </c>
      <c r="BE40" s="101">
        <v>0</v>
      </c>
      <c r="BF40" s="101">
        <f>40</f>
        <v>40</v>
      </c>
      <c r="BH40" s="99">
        <f t="shared" si="45"/>
        <v>0</v>
      </c>
      <c r="BI40" s="99">
        <f t="shared" si="46"/>
        <v>0</v>
      </c>
      <c r="BJ40" s="99">
        <f t="shared" si="47"/>
        <v>0</v>
      </c>
    </row>
    <row r="41" spans="1:62" ht="12.75">
      <c r="A41" s="13" t="s">
        <v>82</v>
      </c>
      <c r="B41" s="13" t="s">
        <v>180</v>
      </c>
      <c r="C41" s="48" t="s">
        <v>250</v>
      </c>
      <c r="D41" s="49"/>
      <c r="E41" s="49"/>
      <c r="F41" s="13" t="s">
        <v>323</v>
      </c>
      <c r="G41" s="23">
        <v>8</v>
      </c>
      <c r="H41" s="99">
        <v>0</v>
      </c>
      <c r="I41" s="99">
        <f t="shared" si="24"/>
        <v>0</v>
      </c>
      <c r="J41" s="99">
        <f t="shared" si="25"/>
        <v>0</v>
      </c>
      <c r="K41" s="99">
        <f t="shared" si="26"/>
        <v>0</v>
      </c>
      <c r="L41" s="100" t="s">
        <v>344</v>
      </c>
      <c r="Z41" s="101">
        <f t="shared" si="27"/>
        <v>0</v>
      </c>
      <c r="AB41" s="101">
        <f t="shared" si="28"/>
        <v>0</v>
      </c>
      <c r="AC41" s="101">
        <f t="shared" si="29"/>
        <v>0</v>
      </c>
      <c r="AD41" s="101">
        <f t="shared" si="30"/>
        <v>0</v>
      </c>
      <c r="AE41" s="101">
        <f t="shared" si="31"/>
        <v>0</v>
      </c>
      <c r="AF41" s="101">
        <f t="shared" si="32"/>
        <v>0</v>
      </c>
      <c r="AG41" s="101">
        <f t="shared" si="33"/>
        <v>0</v>
      </c>
      <c r="AH41" s="101">
        <f t="shared" si="34"/>
        <v>0</v>
      </c>
      <c r="AI41" s="93" t="s">
        <v>357</v>
      </c>
      <c r="AJ41" s="99">
        <f t="shared" si="35"/>
        <v>0</v>
      </c>
      <c r="AK41" s="99">
        <f t="shared" si="36"/>
        <v>0</v>
      </c>
      <c r="AL41" s="99">
        <f t="shared" si="37"/>
        <v>0</v>
      </c>
      <c r="AN41" s="101">
        <v>21</v>
      </c>
      <c r="AO41" s="101">
        <f t="shared" si="38"/>
        <v>0</v>
      </c>
      <c r="AP41" s="101">
        <f t="shared" si="39"/>
        <v>0</v>
      </c>
      <c r="AQ41" s="100" t="s">
        <v>57</v>
      </c>
      <c r="AV41" s="101">
        <f t="shared" si="40"/>
        <v>0</v>
      </c>
      <c r="AW41" s="101">
        <f t="shared" si="41"/>
        <v>0</v>
      </c>
      <c r="AX41" s="101">
        <f t="shared" si="42"/>
        <v>0</v>
      </c>
      <c r="AY41" s="102" t="s">
        <v>366</v>
      </c>
      <c r="AZ41" s="102" t="s">
        <v>373</v>
      </c>
      <c r="BA41" s="93" t="s">
        <v>390</v>
      </c>
      <c r="BC41" s="101">
        <f t="shared" si="43"/>
        <v>0</v>
      </c>
      <c r="BD41" s="101">
        <f t="shared" si="44"/>
        <v>0</v>
      </c>
      <c r="BE41" s="101">
        <v>0</v>
      </c>
      <c r="BF41" s="101">
        <f>41</f>
        <v>41</v>
      </c>
      <c r="BH41" s="99">
        <f t="shared" si="45"/>
        <v>0</v>
      </c>
      <c r="BI41" s="99">
        <f t="shared" si="46"/>
        <v>0</v>
      </c>
      <c r="BJ41" s="99">
        <f t="shared" si="47"/>
        <v>0</v>
      </c>
    </row>
    <row r="42" spans="1:62" ht="12.75">
      <c r="A42" s="13" t="s">
        <v>83</v>
      </c>
      <c r="B42" s="13" t="s">
        <v>181</v>
      </c>
      <c r="C42" s="48" t="s">
        <v>251</v>
      </c>
      <c r="D42" s="49"/>
      <c r="E42" s="49"/>
      <c r="F42" s="13" t="s">
        <v>323</v>
      </c>
      <c r="G42" s="23">
        <v>12</v>
      </c>
      <c r="H42" s="99">
        <v>0</v>
      </c>
      <c r="I42" s="99">
        <f t="shared" si="24"/>
        <v>0</v>
      </c>
      <c r="J42" s="99">
        <f t="shared" si="25"/>
        <v>0</v>
      </c>
      <c r="K42" s="99">
        <f t="shared" si="26"/>
        <v>0</v>
      </c>
      <c r="L42" s="100" t="s">
        <v>344</v>
      </c>
      <c r="Z42" s="101">
        <f t="shared" si="27"/>
        <v>0</v>
      </c>
      <c r="AB42" s="101">
        <f t="shared" si="28"/>
        <v>0</v>
      </c>
      <c r="AC42" s="101">
        <f t="shared" si="29"/>
        <v>0</v>
      </c>
      <c r="AD42" s="101">
        <f t="shared" si="30"/>
        <v>0</v>
      </c>
      <c r="AE42" s="101">
        <f t="shared" si="31"/>
        <v>0</v>
      </c>
      <c r="AF42" s="101">
        <f t="shared" si="32"/>
        <v>0</v>
      </c>
      <c r="AG42" s="101">
        <f t="shared" si="33"/>
        <v>0</v>
      </c>
      <c r="AH42" s="101">
        <f t="shared" si="34"/>
        <v>0</v>
      </c>
      <c r="AI42" s="93" t="s">
        <v>357</v>
      </c>
      <c r="AJ42" s="99">
        <f t="shared" si="35"/>
        <v>0</v>
      </c>
      <c r="AK42" s="99">
        <f t="shared" si="36"/>
        <v>0</v>
      </c>
      <c r="AL42" s="99">
        <f t="shared" si="37"/>
        <v>0</v>
      </c>
      <c r="AN42" s="101">
        <v>21</v>
      </c>
      <c r="AO42" s="101">
        <f t="shared" si="38"/>
        <v>0</v>
      </c>
      <c r="AP42" s="101">
        <f t="shared" si="39"/>
        <v>0</v>
      </c>
      <c r="AQ42" s="100" t="s">
        <v>57</v>
      </c>
      <c r="AV42" s="101">
        <f t="shared" si="40"/>
        <v>0</v>
      </c>
      <c r="AW42" s="101">
        <f t="shared" si="41"/>
        <v>0</v>
      </c>
      <c r="AX42" s="101">
        <f t="shared" si="42"/>
        <v>0</v>
      </c>
      <c r="AY42" s="102" t="s">
        <v>366</v>
      </c>
      <c r="AZ42" s="102" t="s">
        <v>373</v>
      </c>
      <c r="BA42" s="93" t="s">
        <v>390</v>
      </c>
      <c r="BC42" s="101">
        <f t="shared" si="43"/>
        <v>0</v>
      </c>
      <c r="BD42" s="101">
        <f t="shared" si="44"/>
        <v>0</v>
      </c>
      <c r="BE42" s="101">
        <v>0</v>
      </c>
      <c r="BF42" s="101">
        <f>42</f>
        <v>42</v>
      </c>
      <c r="BH42" s="99">
        <f t="shared" si="45"/>
        <v>0</v>
      </c>
      <c r="BI42" s="99">
        <f t="shared" si="46"/>
        <v>0</v>
      </c>
      <c r="BJ42" s="99">
        <f t="shared" si="47"/>
        <v>0</v>
      </c>
    </row>
    <row r="43" spans="1:62" ht="12.75">
      <c r="A43" s="13" t="s">
        <v>84</v>
      </c>
      <c r="B43" s="13" t="s">
        <v>171</v>
      </c>
      <c r="C43" s="48" t="s">
        <v>240</v>
      </c>
      <c r="D43" s="49"/>
      <c r="E43" s="49"/>
      <c r="F43" s="13" t="s">
        <v>323</v>
      </c>
      <c r="G43" s="23">
        <v>2</v>
      </c>
      <c r="H43" s="99">
        <v>0</v>
      </c>
      <c r="I43" s="99">
        <f t="shared" si="24"/>
        <v>0</v>
      </c>
      <c r="J43" s="99">
        <f t="shared" si="25"/>
        <v>0</v>
      </c>
      <c r="K43" s="99">
        <f t="shared" si="26"/>
        <v>0</v>
      </c>
      <c r="L43" s="100" t="s">
        <v>344</v>
      </c>
      <c r="Z43" s="101">
        <f t="shared" si="27"/>
        <v>0</v>
      </c>
      <c r="AB43" s="101">
        <f t="shared" si="28"/>
        <v>0</v>
      </c>
      <c r="AC43" s="101">
        <f t="shared" si="29"/>
        <v>0</v>
      </c>
      <c r="AD43" s="101">
        <f t="shared" si="30"/>
        <v>0</v>
      </c>
      <c r="AE43" s="101">
        <f t="shared" si="31"/>
        <v>0</v>
      </c>
      <c r="AF43" s="101">
        <f t="shared" si="32"/>
        <v>0</v>
      </c>
      <c r="AG43" s="101">
        <f t="shared" si="33"/>
        <v>0</v>
      </c>
      <c r="AH43" s="101">
        <f t="shared" si="34"/>
        <v>0</v>
      </c>
      <c r="AI43" s="93" t="s">
        <v>357</v>
      </c>
      <c r="AJ43" s="99">
        <f t="shared" si="35"/>
        <v>0</v>
      </c>
      <c r="AK43" s="99">
        <f t="shared" si="36"/>
        <v>0</v>
      </c>
      <c r="AL43" s="99">
        <f t="shared" si="37"/>
        <v>0</v>
      </c>
      <c r="AN43" s="101">
        <v>21</v>
      </c>
      <c r="AO43" s="101">
        <f t="shared" si="38"/>
        <v>0</v>
      </c>
      <c r="AP43" s="101">
        <f t="shared" si="39"/>
        <v>0</v>
      </c>
      <c r="AQ43" s="100" t="s">
        <v>57</v>
      </c>
      <c r="AV43" s="101">
        <f t="shared" si="40"/>
        <v>0</v>
      </c>
      <c r="AW43" s="101">
        <f t="shared" si="41"/>
        <v>0</v>
      </c>
      <c r="AX43" s="101">
        <f t="shared" si="42"/>
        <v>0</v>
      </c>
      <c r="AY43" s="102" t="s">
        <v>366</v>
      </c>
      <c r="AZ43" s="102" t="s">
        <v>373</v>
      </c>
      <c r="BA43" s="93" t="s">
        <v>390</v>
      </c>
      <c r="BC43" s="101">
        <f t="shared" si="43"/>
        <v>0</v>
      </c>
      <c r="BD43" s="101">
        <f t="shared" si="44"/>
        <v>0</v>
      </c>
      <c r="BE43" s="101">
        <v>0</v>
      </c>
      <c r="BF43" s="101">
        <f>43</f>
        <v>43</v>
      </c>
      <c r="BH43" s="99">
        <f t="shared" si="45"/>
        <v>0</v>
      </c>
      <c r="BI43" s="99">
        <f t="shared" si="46"/>
        <v>0</v>
      </c>
      <c r="BJ43" s="99">
        <f t="shared" si="47"/>
        <v>0</v>
      </c>
    </row>
    <row r="44" spans="1:62" ht="12.75">
      <c r="A44" s="13" t="s">
        <v>85</v>
      </c>
      <c r="B44" s="13" t="s">
        <v>172</v>
      </c>
      <c r="C44" s="48" t="s">
        <v>241</v>
      </c>
      <c r="D44" s="49"/>
      <c r="E44" s="49"/>
      <c r="F44" s="13" t="s">
        <v>323</v>
      </c>
      <c r="G44" s="23">
        <v>2</v>
      </c>
      <c r="H44" s="99">
        <v>0</v>
      </c>
      <c r="I44" s="99">
        <f t="shared" si="24"/>
        <v>0</v>
      </c>
      <c r="J44" s="99">
        <f t="shared" si="25"/>
        <v>0</v>
      </c>
      <c r="K44" s="99">
        <f t="shared" si="26"/>
        <v>0</v>
      </c>
      <c r="L44" s="100" t="s">
        <v>344</v>
      </c>
      <c r="Z44" s="101">
        <f t="shared" si="27"/>
        <v>0</v>
      </c>
      <c r="AB44" s="101">
        <f t="shared" si="28"/>
        <v>0</v>
      </c>
      <c r="AC44" s="101">
        <f t="shared" si="29"/>
        <v>0</v>
      </c>
      <c r="AD44" s="101">
        <f t="shared" si="30"/>
        <v>0</v>
      </c>
      <c r="AE44" s="101">
        <f t="shared" si="31"/>
        <v>0</v>
      </c>
      <c r="AF44" s="101">
        <f t="shared" si="32"/>
        <v>0</v>
      </c>
      <c r="AG44" s="101">
        <f t="shared" si="33"/>
        <v>0</v>
      </c>
      <c r="AH44" s="101">
        <f t="shared" si="34"/>
        <v>0</v>
      </c>
      <c r="AI44" s="93" t="s">
        <v>357</v>
      </c>
      <c r="AJ44" s="99">
        <f t="shared" si="35"/>
        <v>0</v>
      </c>
      <c r="AK44" s="99">
        <f t="shared" si="36"/>
        <v>0</v>
      </c>
      <c r="AL44" s="99">
        <f t="shared" si="37"/>
        <v>0</v>
      </c>
      <c r="AN44" s="101">
        <v>21</v>
      </c>
      <c r="AO44" s="101">
        <f t="shared" si="38"/>
        <v>0</v>
      </c>
      <c r="AP44" s="101">
        <f t="shared" si="39"/>
        <v>0</v>
      </c>
      <c r="AQ44" s="100" t="s">
        <v>57</v>
      </c>
      <c r="AV44" s="101">
        <f t="shared" si="40"/>
        <v>0</v>
      </c>
      <c r="AW44" s="101">
        <f t="shared" si="41"/>
        <v>0</v>
      </c>
      <c r="AX44" s="101">
        <f t="shared" si="42"/>
        <v>0</v>
      </c>
      <c r="AY44" s="102" t="s">
        <v>366</v>
      </c>
      <c r="AZ44" s="102" t="s">
        <v>373</v>
      </c>
      <c r="BA44" s="93" t="s">
        <v>390</v>
      </c>
      <c r="BC44" s="101">
        <f t="shared" si="43"/>
        <v>0</v>
      </c>
      <c r="BD44" s="101">
        <f t="shared" si="44"/>
        <v>0</v>
      </c>
      <c r="BE44" s="101">
        <v>0</v>
      </c>
      <c r="BF44" s="101">
        <f>44</f>
        <v>44</v>
      </c>
      <c r="BH44" s="99">
        <f t="shared" si="45"/>
        <v>0</v>
      </c>
      <c r="BI44" s="99">
        <f t="shared" si="46"/>
        <v>0</v>
      </c>
      <c r="BJ44" s="99">
        <f t="shared" si="47"/>
        <v>0</v>
      </c>
    </row>
    <row r="45" spans="1:62" ht="12.75">
      <c r="A45" s="13" t="s">
        <v>86</v>
      </c>
      <c r="B45" s="13" t="s">
        <v>173</v>
      </c>
      <c r="C45" s="48" t="s">
        <v>242</v>
      </c>
      <c r="D45" s="49"/>
      <c r="E45" s="49"/>
      <c r="F45" s="13" t="s">
        <v>323</v>
      </c>
      <c r="G45" s="23">
        <v>1</v>
      </c>
      <c r="H45" s="99">
        <v>0</v>
      </c>
      <c r="I45" s="99">
        <f t="shared" si="24"/>
        <v>0</v>
      </c>
      <c r="J45" s="99">
        <f t="shared" si="25"/>
        <v>0</v>
      </c>
      <c r="K45" s="99">
        <f t="shared" si="26"/>
        <v>0</v>
      </c>
      <c r="L45" s="100" t="s">
        <v>344</v>
      </c>
      <c r="Z45" s="101">
        <f t="shared" si="27"/>
        <v>0</v>
      </c>
      <c r="AB45" s="101">
        <f t="shared" si="28"/>
        <v>0</v>
      </c>
      <c r="AC45" s="101">
        <f t="shared" si="29"/>
        <v>0</v>
      </c>
      <c r="AD45" s="101">
        <f t="shared" si="30"/>
        <v>0</v>
      </c>
      <c r="AE45" s="101">
        <f t="shared" si="31"/>
        <v>0</v>
      </c>
      <c r="AF45" s="101">
        <f t="shared" si="32"/>
        <v>0</v>
      </c>
      <c r="AG45" s="101">
        <f t="shared" si="33"/>
        <v>0</v>
      </c>
      <c r="AH45" s="101">
        <f t="shared" si="34"/>
        <v>0</v>
      </c>
      <c r="AI45" s="93" t="s">
        <v>357</v>
      </c>
      <c r="AJ45" s="99">
        <f t="shared" si="35"/>
        <v>0</v>
      </c>
      <c r="AK45" s="99">
        <f t="shared" si="36"/>
        <v>0</v>
      </c>
      <c r="AL45" s="99">
        <f t="shared" si="37"/>
        <v>0</v>
      </c>
      <c r="AN45" s="101">
        <v>21</v>
      </c>
      <c r="AO45" s="101">
        <f t="shared" si="38"/>
        <v>0</v>
      </c>
      <c r="AP45" s="101">
        <f t="shared" si="39"/>
        <v>0</v>
      </c>
      <c r="AQ45" s="100" t="s">
        <v>57</v>
      </c>
      <c r="AV45" s="101">
        <f t="shared" si="40"/>
        <v>0</v>
      </c>
      <c r="AW45" s="101">
        <f t="shared" si="41"/>
        <v>0</v>
      </c>
      <c r="AX45" s="101">
        <f t="shared" si="42"/>
        <v>0</v>
      </c>
      <c r="AY45" s="102" t="s">
        <v>366</v>
      </c>
      <c r="AZ45" s="102" t="s">
        <v>373</v>
      </c>
      <c r="BA45" s="93" t="s">
        <v>390</v>
      </c>
      <c r="BC45" s="101">
        <f t="shared" si="43"/>
        <v>0</v>
      </c>
      <c r="BD45" s="101">
        <f t="shared" si="44"/>
        <v>0</v>
      </c>
      <c r="BE45" s="101">
        <v>0</v>
      </c>
      <c r="BF45" s="101">
        <f>45</f>
        <v>45</v>
      </c>
      <c r="BH45" s="99">
        <f t="shared" si="45"/>
        <v>0</v>
      </c>
      <c r="BI45" s="99">
        <f t="shared" si="46"/>
        <v>0</v>
      </c>
      <c r="BJ45" s="99">
        <f t="shared" si="47"/>
        <v>0</v>
      </c>
    </row>
    <row r="46" spans="1:62" ht="12.75">
      <c r="A46" s="13" t="s">
        <v>87</v>
      </c>
      <c r="B46" s="13" t="s">
        <v>174</v>
      </c>
      <c r="C46" s="48" t="s">
        <v>243</v>
      </c>
      <c r="D46" s="49"/>
      <c r="E46" s="49"/>
      <c r="F46" s="13" t="s">
        <v>323</v>
      </c>
      <c r="G46" s="23">
        <v>14</v>
      </c>
      <c r="H46" s="99">
        <v>0</v>
      </c>
      <c r="I46" s="99">
        <f t="shared" si="24"/>
        <v>0</v>
      </c>
      <c r="J46" s="99">
        <f t="shared" si="25"/>
        <v>0</v>
      </c>
      <c r="K46" s="99">
        <f t="shared" si="26"/>
        <v>0</v>
      </c>
      <c r="L46" s="100" t="s">
        <v>344</v>
      </c>
      <c r="Z46" s="101">
        <f t="shared" si="27"/>
        <v>0</v>
      </c>
      <c r="AB46" s="101">
        <f t="shared" si="28"/>
        <v>0</v>
      </c>
      <c r="AC46" s="101">
        <f t="shared" si="29"/>
        <v>0</v>
      </c>
      <c r="AD46" s="101">
        <f t="shared" si="30"/>
        <v>0</v>
      </c>
      <c r="AE46" s="101">
        <f t="shared" si="31"/>
        <v>0</v>
      </c>
      <c r="AF46" s="101">
        <f t="shared" si="32"/>
        <v>0</v>
      </c>
      <c r="AG46" s="101">
        <f t="shared" si="33"/>
        <v>0</v>
      </c>
      <c r="AH46" s="101">
        <f t="shared" si="34"/>
        <v>0</v>
      </c>
      <c r="AI46" s="93" t="s">
        <v>357</v>
      </c>
      <c r="AJ46" s="99">
        <f t="shared" si="35"/>
        <v>0</v>
      </c>
      <c r="AK46" s="99">
        <f t="shared" si="36"/>
        <v>0</v>
      </c>
      <c r="AL46" s="99">
        <f t="shared" si="37"/>
        <v>0</v>
      </c>
      <c r="AN46" s="101">
        <v>21</v>
      </c>
      <c r="AO46" s="101">
        <f t="shared" si="38"/>
        <v>0</v>
      </c>
      <c r="AP46" s="101">
        <f t="shared" si="39"/>
        <v>0</v>
      </c>
      <c r="AQ46" s="100" t="s">
        <v>57</v>
      </c>
      <c r="AV46" s="101">
        <f t="shared" si="40"/>
        <v>0</v>
      </c>
      <c r="AW46" s="101">
        <f t="shared" si="41"/>
        <v>0</v>
      </c>
      <c r="AX46" s="101">
        <f t="shared" si="42"/>
        <v>0</v>
      </c>
      <c r="AY46" s="102" t="s">
        <v>366</v>
      </c>
      <c r="AZ46" s="102" t="s">
        <v>373</v>
      </c>
      <c r="BA46" s="93" t="s">
        <v>390</v>
      </c>
      <c r="BC46" s="101">
        <f t="shared" si="43"/>
        <v>0</v>
      </c>
      <c r="BD46" s="101">
        <f t="shared" si="44"/>
        <v>0</v>
      </c>
      <c r="BE46" s="101">
        <v>0</v>
      </c>
      <c r="BF46" s="101">
        <f>46</f>
        <v>46</v>
      </c>
      <c r="BH46" s="99">
        <f t="shared" si="45"/>
        <v>0</v>
      </c>
      <c r="BI46" s="99">
        <f t="shared" si="46"/>
        <v>0</v>
      </c>
      <c r="BJ46" s="99">
        <f t="shared" si="47"/>
        <v>0</v>
      </c>
    </row>
    <row r="47" spans="1:62" ht="12.75">
      <c r="A47" s="13" t="s">
        <v>88</v>
      </c>
      <c r="B47" s="13" t="s">
        <v>175</v>
      </c>
      <c r="C47" s="48" t="s">
        <v>244</v>
      </c>
      <c r="D47" s="49"/>
      <c r="E47" s="49"/>
      <c r="F47" s="13" t="s">
        <v>323</v>
      </c>
      <c r="G47" s="23">
        <v>8</v>
      </c>
      <c r="H47" s="99">
        <v>0</v>
      </c>
      <c r="I47" s="99">
        <f t="shared" si="24"/>
        <v>0</v>
      </c>
      <c r="J47" s="99">
        <f t="shared" si="25"/>
        <v>0</v>
      </c>
      <c r="K47" s="99">
        <f t="shared" si="26"/>
        <v>0</v>
      </c>
      <c r="L47" s="100" t="s">
        <v>344</v>
      </c>
      <c r="Z47" s="101">
        <f t="shared" si="27"/>
        <v>0</v>
      </c>
      <c r="AB47" s="101">
        <f t="shared" si="28"/>
        <v>0</v>
      </c>
      <c r="AC47" s="101">
        <f t="shared" si="29"/>
        <v>0</v>
      </c>
      <c r="AD47" s="101">
        <f t="shared" si="30"/>
        <v>0</v>
      </c>
      <c r="AE47" s="101">
        <f t="shared" si="31"/>
        <v>0</v>
      </c>
      <c r="AF47" s="101">
        <f t="shared" si="32"/>
        <v>0</v>
      </c>
      <c r="AG47" s="101">
        <f t="shared" si="33"/>
        <v>0</v>
      </c>
      <c r="AH47" s="101">
        <f t="shared" si="34"/>
        <v>0</v>
      </c>
      <c r="AI47" s="93" t="s">
        <v>357</v>
      </c>
      <c r="AJ47" s="99">
        <f t="shared" si="35"/>
        <v>0</v>
      </c>
      <c r="AK47" s="99">
        <f t="shared" si="36"/>
        <v>0</v>
      </c>
      <c r="AL47" s="99">
        <f t="shared" si="37"/>
        <v>0</v>
      </c>
      <c r="AN47" s="101">
        <v>21</v>
      </c>
      <c r="AO47" s="101">
        <f t="shared" si="38"/>
        <v>0</v>
      </c>
      <c r="AP47" s="101">
        <f t="shared" si="39"/>
        <v>0</v>
      </c>
      <c r="AQ47" s="100" t="s">
        <v>57</v>
      </c>
      <c r="AV47" s="101">
        <f t="shared" si="40"/>
        <v>0</v>
      </c>
      <c r="AW47" s="101">
        <f t="shared" si="41"/>
        <v>0</v>
      </c>
      <c r="AX47" s="101">
        <f t="shared" si="42"/>
        <v>0</v>
      </c>
      <c r="AY47" s="102" t="s">
        <v>366</v>
      </c>
      <c r="AZ47" s="102" t="s">
        <v>373</v>
      </c>
      <c r="BA47" s="93" t="s">
        <v>390</v>
      </c>
      <c r="BC47" s="101">
        <f t="shared" si="43"/>
        <v>0</v>
      </c>
      <c r="BD47" s="101">
        <f t="shared" si="44"/>
        <v>0</v>
      </c>
      <c r="BE47" s="101">
        <v>0</v>
      </c>
      <c r="BF47" s="101">
        <f>47</f>
        <v>47</v>
      </c>
      <c r="BH47" s="99">
        <f t="shared" si="45"/>
        <v>0</v>
      </c>
      <c r="BI47" s="99">
        <f t="shared" si="46"/>
        <v>0</v>
      </c>
      <c r="BJ47" s="99">
        <f t="shared" si="47"/>
        <v>0</v>
      </c>
    </row>
    <row r="48" spans="1:62" ht="12.75">
      <c r="A48" s="13" t="s">
        <v>89</v>
      </c>
      <c r="B48" s="13" t="s">
        <v>176</v>
      </c>
      <c r="C48" s="48" t="s">
        <v>245</v>
      </c>
      <c r="D48" s="49"/>
      <c r="E48" s="49"/>
      <c r="F48" s="13" t="s">
        <v>323</v>
      </c>
      <c r="G48" s="23">
        <v>5</v>
      </c>
      <c r="H48" s="99">
        <v>0</v>
      </c>
      <c r="I48" s="99">
        <f t="shared" si="24"/>
        <v>0</v>
      </c>
      <c r="J48" s="99">
        <f t="shared" si="25"/>
        <v>0</v>
      </c>
      <c r="K48" s="99">
        <f t="shared" si="26"/>
        <v>0</v>
      </c>
      <c r="L48" s="100" t="s">
        <v>344</v>
      </c>
      <c r="Z48" s="101">
        <f t="shared" si="27"/>
        <v>0</v>
      </c>
      <c r="AB48" s="101">
        <f t="shared" si="28"/>
        <v>0</v>
      </c>
      <c r="AC48" s="101">
        <f t="shared" si="29"/>
        <v>0</v>
      </c>
      <c r="AD48" s="101">
        <f t="shared" si="30"/>
        <v>0</v>
      </c>
      <c r="AE48" s="101">
        <f t="shared" si="31"/>
        <v>0</v>
      </c>
      <c r="AF48" s="101">
        <f t="shared" si="32"/>
        <v>0</v>
      </c>
      <c r="AG48" s="101">
        <f t="shared" si="33"/>
        <v>0</v>
      </c>
      <c r="AH48" s="101">
        <f t="shared" si="34"/>
        <v>0</v>
      </c>
      <c r="AI48" s="93" t="s">
        <v>357</v>
      </c>
      <c r="AJ48" s="99">
        <f t="shared" si="35"/>
        <v>0</v>
      </c>
      <c r="AK48" s="99">
        <f t="shared" si="36"/>
        <v>0</v>
      </c>
      <c r="AL48" s="99">
        <f t="shared" si="37"/>
        <v>0</v>
      </c>
      <c r="AN48" s="101">
        <v>21</v>
      </c>
      <c r="AO48" s="101">
        <f t="shared" si="38"/>
        <v>0</v>
      </c>
      <c r="AP48" s="101">
        <f t="shared" si="39"/>
        <v>0</v>
      </c>
      <c r="AQ48" s="100" t="s">
        <v>57</v>
      </c>
      <c r="AV48" s="101">
        <f t="shared" si="40"/>
        <v>0</v>
      </c>
      <c r="AW48" s="101">
        <f t="shared" si="41"/>
        <v>0</v>
      </c>
      <c r="AX48" s="101">
        <f t="shared" si="42"/>
        <v>0</v>
      </c>
      <c r="AY48" s="102" t="s">
        <v>366</v>
      </c>
      <c r="AZ48" s="102" t="s">
        <v>373</v>
      </c>
      <c r="BA48" s="93" t="s">
        <v>390</v>
      </c>
      <c r="BC48" s="101">
        <f t="shared" si="43"/>
        <v>0</v>
      </c>
      <c r="BD48" s="101">
        <f t="shared" si="44"/>
        <v>0</v>
      </c>
      <c r="BE48" s="101">
        <v>0</v>
      </c>
      <c r="BF48" s="101">
        <f>48</f>
        <v>48</v>
      </c>
      <c r="BH48" s="99">
        <f t="shared" si="45"/>
        <v>0</v>
      </c>
      <c r="BI48" s="99">
        <f t="shared" si="46"/>
        <v>0</v>
      </c>
      <c r="BJ48" s="99">
        <f t="shared" si="47"/>
        <v>0</v>
      </c>
    </row>
    <row r="49" spans="1:62" ht="12.75">
      <c r="A49" s="13" t="s">
        <v>90</v>
      </c>
      <c r="B49" s="13" t="s">
        <v>177</v>
      </c>
      <c r="C49" s="48" t="s">
        <v>246</v>
      </c>
      <c r="D49" s="49"/>
      <c r="E49" s="49"/>
      <c r="F49" s="13" t="s">
        <v>323</v>
      </c>
      <c r="G49" s="23">
        <v>2</v>
      </c>
      <c r="H49" s="99">
        <v>0</v>
      </c>
      <c r="I49" s="99">
        <f t="shared" si="24"/>
        <v>0</v>
      </c>
      <c r="J49" s="99">
        <f t="shared" si="25"/>
        <v>0</v>
      </c>
      <c r="K49" s="99">
        <f t="shared" si="26"/>
        <v>0</v>
      </c>
      <c r="L49" s="100" t="s">
        <v>344</v>
      </c>
      <c r="Z49" s="101">
        <f t="shared" si="27"/>
        <v>0</v>
      </c>
      <c r="AB49" s="101">
        <f t="shared" si="28"/>
        <v>0</v>
      </c>
      <c r="AC49" s="101">
        <f t="shared" si="29"/>
        <v>0</v>
      </c>
      <c r="AD49" s="101">
        <f t="shared" si="30"/>
        <v>0</v>
      </c>
      <c r="AE49" s="101">
        <f t="shared" si="31"/>
        <v>0</v>
      </c>
      <c r="AF49" s="101">
        <f t="shared" si="32"/>
        <v>0</v>
      </c>
      <c r="AG49" s="101">
        <f t="shared" si="33"/>
        <v>0</v>
      </c>
      <c r="AH49" s="101">
        <f t="shared" si="34"/>
        <v>0</v>
      </c>
      <c r="AI49" s="93" t="s">
        <v>357</v>
      </c>
      <c r="AJ49" s="99">
        <f t="shared" si="35"/>
        <v>0</v>
      </c>
      <c r="AK49" s="99">
        <f t="shared" si="36"/>
        <v>0</v>
      </c>
      <c r="AL49" s="99">
        <f t="shared" si="37"/>
        <v>0</v>
      </c>
      <c r="AN49" s="101">
        <v>21</v>
      </c>
      <c r="AO49" s="101">
        <f t="shared" si="38"/>
        <v>0</v>
      </c>
      <c r="AP49" s="101">
        <f t="shared" si="39"/>
        <v>0</v>
      </c>
      <c r="AQ49" s="100" t="s">
        <v>57</v>
      </c>
      <c r="AV49" s="101">
        <f t="shared" si="40"/>
        <v>0</v>
      </c>
      <c r="AW49" s="101">
        <f t="shared" si="41"/>
        <v>0</v>
      </c>
      <c r="AX49" s="101">
        <f t="shared" si="42"/>
        <v>0</v>
      </c>
      <c r="AY49" s="102" t="s">
        <v>366</v>
      </c>
      <c r="AZ49" s="102" t="s">
        <v>373</v>
      </c>
      <c r="BA49" s="93" t="s">
        <v>390</v>
      </c>
      <c r="BC49" s="101">
        <f t="shared" si="43"/>
        <v>0</v>
      </c>
      <c r="BD49" s="101">
        <f t="shared" si="44"/>
        <v>0</v>
      </c>
      <c r="BE49" s="101">
        <v>0</v>
      </c>
      <c r="BF49" s="101">
        <f>49</f>
        <v>49</v>
      </c>
      <c r="BH49" s="99">
        <f t="shared" si="45"/>
        <v>0</v>
      </c>
      <c r="BI49" s="99">
        <f t="shared" si="46"/>
        <v>0</v>
      </c>
      <c r="BJ49" s="99">
        <f t="shared" si="47"/>
        <v>0</v>
      </c>
    </row>
    <row r="50" spans="1:62" ht="12.75">
      <c r="A50" s="13" t="s">
        <v>91</v>
      </c>
      <c r="B50" s="13" t="s">
        <v>178</v>
      </c>
      <c r="C50" s="48" t="s">
        <v>247</v>
      </c>
      <c r="D50" s="49"/>
      <c r="E50" s="49"/>
      <c r="F50" s="13" t="s">
        <v>324</v>
      </c>
      <c r="G50" s="23">
        <v>106</v>
      </c>
      <c r="H50" s="99">
        <v>0</v>
      </c>
      <c r="I50" s="99">
        <f t="shared" si="24"/>
        <v>0</v>
      </c>
      <c r="J50" s="99">
        <f t="shared" si="25"/>
        <v>0</v>
      </c>
      <c r="K50" s="99">
        <f t="shared" si="26"/>
        <v>0</v>
      </c>
      <c r="L50" s="100" t="s">
        <v>345</v>
      </c>
      <c r="Z50" s="101">
        <f t="shared" si="27"/>
        <v>0</v>
      </c>
      <c r="AB50" s="101">
        <f t="shared" si="28"/>
        <v>0</v>
      </c>
      <c r="AC50" s="101">
        <f t="shared" si="29"/>
        <v>0</v>
      </c>
      <c r="AD50" s="101">
        <f t="shared" si="30"/>
        <v>0</v>
      </c>
      <c r="AE50" s="101">
        <f t="shared" si="31"/>
        <v>0</v>
      </c>
      <c r="AF50" s="101">
        <f t="shared" si="32"/>
        <v>0</v>
      </c>
      <c r="AG50" s="101">
        <f t="shared" si="33"/>
        <v>0</v>
      </c>
      <c r="AH50" s="101">
        <f t="shared" si="34"/>
        <v>0</v>
      </c>
      <c r="AI50" s="93" t="s">
        <v>357</v>
      </c>
      <c r="AJ50" s="99">
        <f t="shared" si="35"/>
        <v>0</v>
      </c>
      <c r="AK50" s="99">
        <f t="shared" si="36"/>
        <v>0</v>
      </c>
      <c r="AL50" s="99">
        <f t="shared" si="37"/>
        <v>0</v>
      </c>
      <c r="AN50" s="101">
        <v>21</v>
      </c>
      <c r="AO50" s="101">
        <f t="shared" si="38"/>
        <v>0</v>
      </c>
      <c r="AP50" s="101">
        <f t="shared" si="39"/>
        <v>0</v>
      </c>
      <c r="AQ50" s="100" t="s">
        <v>57</v>
      </c>
      <c r="AV50" s="101">
        <f t="shared" si="40"/>
        <v>0</v>
      </c>
      <c r="AW50" s="101">
        <f t="shared" si="41"/>
        <v>0</v>
      </c>
      <c r="AX50" s="101">
        <f t="shared" si="42"/>
        <v>0</v>
      </c>
      <c r="AY50" s="102" t="s">
        <v>366</v>
      </c>
      <c r="AZ50" s="102" t="s">
        <v>373</v>
      </c>
      <c r="BA50" s="93" t="s">
        <v>390</v>
      </c>
      <c r="BC50" s="101">
        <f t="shared" si="43"/>
        <v>0</v>
      </c>
      <c r="BD50" s="101">
        <f t="shared" si="44"/>
        <v>0</v>
      </c>
      <c r="BE50" s="101">
        <v>0</v>
      </c>
      <c r="BF50" s="101">
        <f>50</f>
        <v>50</v>
      </c>
      <c r="BH50" s="99">
        <f t="shared" si="45"/>
        <v>0</v>
      </c>
      <c r="BI50" s="99">
        <f t="shared" si="46"/>
        <v>0</v>
      </c>
      <c r="BJ50" s="99">
        <f t="shared" si="47"/>
        <v>0</v>
      </c>
    </row>
    <row r="51" spans="1:62" ht="12.75">
      <c r="A51" s="13" t="s">
        <v>92</v>
      </c>
      <c r="B51" s="13" t="s">
        <v>179</v>
      </c>
      <c r="C51" s="48" t="s">
        <v>248</v>
      </c>
      <c r="D51" s="49"/>
      <c r="E51" s="49"/>
      <c r="F51" s="13" t="s">
        <v>325</v>
      </c>
      <c r="G51" s="23">
        <v>30</v>
      </c>
      <c r="H51" s="99">
        <v>0</v>
      </c>
      <c r="I51" s="99">
        <f t="shared" si="24"/>
        <v>0</v>
      </c>
      <c r="J51" s="99">
        <f t="shared" si="25"/>
        <v>0</v>
      </c>
      <c r="K51" s="99">
        <f t="shared" si="26"/>
        <v>0</v>
      </c>
      <c r="L51" s="100" t="s">
        <v>346</v>
      </c>
      <c r="Z51" s="101">
        <f t="shared" si="27"/>
        <v>0</v>
      </c>
      <c r="AB51" s="101">
        <f t="shared" si="28"/>
        <v>0</v>
      </c>
      <c r="AC51" s="101">
        <f t="shared" si="29"/>
        <v>0</v>
      </c>
      <c r="AD51" s="101">
        <f t="shared" si="30"/>
        <v>0</v>
      </c>
      <c r="AE51" s="101">
        <f t="shared" si="31"/>
        <v>0</v>
      </c>
      <c r="AF51" s="101">
        <f t="shared" si="32"/>
        <v>0</v>
      </c>
      <c r="AG51" s="101">
        <f t="shared" si="33"/>
        <v>0</v>
      </c>
      <c r="AH51" s="101">
        <f t="shared" si="34"/>
        <v>0</v>
      </c>
      <c r="AI51" s="93" t="s">
        <v>357</v>
      </c>
      <c r="AJ51" s="99">
        <f t="shared" si="35"/>
        <v>0</v>
      </c>
      <c r="AK51" s="99">
        <f t="shared" si="36"/>
        <v>0</v>
      </c>
      <c r="AL51" s="99">
        <f t="shared" si="37"/>
        <v>0</v>
      </c>
      <c r="AN51" s="101">
        <v>21</v>
      </c>
      <c r="AO51" s="101">
        <f t="shared" si="38"/>
        <v>0</v>
      </c>
      <c r="AP51" s="101">
        <f t="shared" si="39"/>
        <v>0</v>
      </c>
      <c r="AQ51" s="100" t="s">
        <v>57</v>
      </c>
      <c r="AV51" s="101">
        <f t="shared" si="40"/>
        <v>0</v>
      </c>
      <c r="AW51" s="101">
        <f t="shared" si="41"/>
        <v>0</v>
      </c>
      <c r="AX51" s="101">
        <f t="shared" si="42"/>
        <v>0</v>
      </c>
      <c r="AY51" s="102" t="s">
        <v>366</v>
      </c>
      <c r="AZ51" s="102" t="s">
        <v>373</v>
      </c>
      <c r="BA51" s="93" t="s">
        <v>390</v>
      </c>
      <c r="BC51" s="101">
        <f t="shared" si="43"/>
        <v>0</v>
      </c>
      <c r="BD51" s="101">
        <f t="shared" si="44"/>
        <v>0</v>
      </c>
      <c r="BE51" s="101">
        <v>0</v>
      </c>
      <c r="BF51" s="101">
        <f>51</f>
        <v>51</v>
      </c>
      <c r="BH51" s="99">
        <f t="shared" si="45"/>
        <v>0</v>
      </c>
      <c r="BI51" s="99">
        <f t="shared" si="46"/>
        <v>0</v>
      </c>
      <c r="BJ51" s="99">
        <f t="shared" si="47"/>
        <v>0</v>
      </c>
    </row>
    <row r="52" spans="1:12" ht="12.75">
      <c r="A52" s="14"/>
      <c r="B52" s="21"/>
      <c r="C52" s="50" t="s">
        <v>252</v>
      </c>
      <c r="D52" s="51"/>
      <c r="E52" s="51"/>
      <c r="F52" s="14" t="s">
        <v>56</v>
      </c>
      <c r="G52" s="14" t="s">
        <v>56</v>
      </c>
      <c r="H52" s="103" t="s">
        <v>56</v>
      </c>
      <c r="I52" s="104">
        <f>I53</f>
        <v>0</v>
      </c>
      <c r="J52" s="104">
        <f>J53</f>
        <v>0</v>
      </c>
      <c r="K52" s="104">
        <f>K53</f>
        <v>0</v>
      </c>
      <c r="L52" s="105"/>
    </row>
    <row r="53" spans="1:47" ht="12.75">
      <c r="A53" s="12"/>
      <c r="B53" s="20" t="s">
        <v>67</v>
      </c>
      <c r="C53" s="46" t="s">
        <v>231</v>
      </c>
      <c r="D53" s="47"/>
      <c r="E53" s="47"/>
      <c r="F53" s="12" t="s">
        <v>56</v>
      </c>
      <c r="G53" s="12" t="s">
        <v>56</v>
      </c>
      <c r="H53" s="97" t="s">
        <v>56</v>
      </c>
      <c r="I53" s="98">
        <f>SUM(I54:I55)</f>
        <v>0</v>
      </c>
      <c r="J53" s="98">
        <f>SUM(J54:J55)</f>
        <v>0</v>
      </c>
      <c r="K53" s="98">
        <f>SUM(K54:K55)</f>
        <v>0</v>
      </c>
      <c r="L53" s="93"/>
      <c r="AI53" s="93" t="s">
        <v>358</v>
      </c>
      <c r="AS53" s="98">
        <f>SUM(AJ54:AJ55)</f>
        <v>0</v>
      </c>
      <c r="AT53" s="98">
        <f>SUM(AK54:AK55)</f>
        <v>0</v>
      </c>
      <c r="AU53" s="98">
        <f>SUM(AL54:AL55)</f>
        <v>0</v>
      </c>
    </row>
    <row r="54" spans="1:62" ht="12.75">
      <c r="A54" s="13" t="s">
        <v>93</v>
      </c>
      <c r="B54" s="13" t="s">
        <v>182</v>
      </c>
      <c r="C54" s="48" t="s">
        <v>253</v>
      </c>
      <c r="D54" s="49"/>
      <c r="E54" s="49"/>
      <c r="F54" s="13" t="s">
        <v>325</v>
      </c>
      <c r="G54" s="23">
        <v>70833</v>
      </c>
      <c r="H54" s="99">
        <v>0</v>
      </c>
      <c r="I54" s="99">
        <f>G54*AO54</f>
        <v>0</v>
      </c>
      <c r="J54" s="99">
        <f>G54*AP54</f>
        <v>0</v>
      </c>
      <c r="K54" s="99">
        <f>G54*H54</f>
        <v>0</v>
      </c>
      <c r="L54" s="100" t="s">
        <v>346</v>
      </c>
      <c r="Z54" s="101">
        <f>IF(AQ54="5",BJ54,0)</f>
        <v>0</v>
      </c>
      <c r="AB54" s="101">
        <f>IF(AQ54="1",BH54,0)</f>
        <v>0</v>
      </c>
      <c r="AC54" s="101">
        <f>IF(AQ54="1",BI54,0)</f>
        <v>0</v>
      </c>
      <c r="AD54" s="101">
        <f>IF(AQ54="7",BH54,0)</f>
        <v>0</v>
      </c>
      <c r="AE54" s="101">
        <f>IF(AQ54="7",BI54,0)</f>
        <v>0</v>
      </c>
      <c r="AF54" s="101">
        <f>IF(AQ54="2",BH54,0)</f>
        <v>0</v>
      </c>
      <c r="AG54" s="101">
        <f>IF(AQ54="2",BI54,0)</f>
        <v>0</v>
      </c>
      <c r="AH54" s="101">
        <f>IF(AQ54="0",BJ54,0)</f>
        <v>0</v>
      </c>
      <c r="AI54" s="93" t="s">
        <v>358</v>
      </c>
      <c r="AJ54" s="99">
        <f>IF(AN54=0,K54,0)</f>
        <v>0</v>
      </c>
      <c r="AK54" s="99">
        <f>IF(AN54=15,K54,0)</f>
        <v>0</v>
      </c>
      <c r="AL54" s="99">
        <f>IF(AN54=21,K54,0)</f>
        <v>0</v>
      </c>
      <c r="AN54" s="101">
        <v>21</v>
      </c>
      <c r="AO54" s="101">
        <f>H54*0</f>
        <v>0</v>
      </c>
      <c r="AP54" s="101">
        <f>H54*(1-0)</f>
        <v>0</v>
      </c>
      <c r="AQ54" s="100" t="s">
        <v>57</v>
      </c>
      <c r="AV54" s="101">
        <f>AW54+AX54</f>
        <v>0</v>
      </c>
      <c r="AW54" s="101">
        <f>G54*AO54</f>
        <v>0</v>
      </c>
      <c r="AX54" s="101">
        <f>G54*AP54</f>
        <v>0</v>
      </c>
      <c r="AY54" s="102" t="s">
        <v>366</v>
      </c>
      <c r="AZ54" s="102" t="s">
        <v>374</v>
      </c>
      <c r="BA54" s="93" t="s">
        <v>391</v>
      </c>
      <c r="BC54" s="101">
        <f>AW54+AX54</f>
        <v>0</v>
      </c>
      <c r="BD54" s="101">
        <f>H54/(100-BE54)*100</f>
        <v>0</v>
      </c>
      <c r="BE54" s="101">
        <v>0</v>
      </c>
      <c r="BF54" s="101">
        <f>54</f>
        <v>54</v>
      </c>
      <c r="BH54" s="99">
        <f>G54*AO54</f>
        <v>0</v>
      </c>
      <c r="BI54" s="99">
        <f>G54*AP54</f>
        <v>0</v>
      </c>
      <c r="BJ54" s="99">
        <f>G54*H54</f>
        <v>0</v>
      </c>
    </row>
    <row r="55" spans="1:62" ht="12.75">
      <c r="A55" s="13" t="s">
        <v>94</v>
      </c>
      <c r="B55" s="13" t="s">
        <v>178</v>
      </c>
      <c r="C55" s="48" t="s">
        <v>254</v>
      </c>
      <c r="D55" s="49"/>
      <c r="E55" s="49"/>
      <c r="F55" s="13" t="s">
        <v>324</v>
      </c>
      <c r="G55" s="23">
        <v>223</v>
      </c>
      <c r="H55" s="99">
        <v>0</v>
      </c>
      <c r="I55" s="99">
        <f>G55*AO55</f>
        <v>0</v>
      </c>
      <c r="J55" s="99">
        <f>G55*AP55</f>
        <v>0</v>
      </c>
      <c r="K55" s="99">
        <f>G55*H55</f>
        <v>0</v>
      </c>
      <c r="L55" s="100" t="s">
        <v>345</v>
      </c>
      <c r="Z55" s="101">
        <f>IF(AQ55="5",BJ55,0)</f>
        <v>0</v>
      </c>
      <c r="AB55" s="101">
        <f>IF(AQ55="1",BH55,0)</f>
        <v>0</v>
      </c>
      <c r="AC55" s="101">
        <f>IF(AQ55="1",BI55,0)</f>
        <v>0</v>
      </c>
      <c r="AD55" s="101">
        <f>IF(AQ55="7",BH55,0)</f>
        <v>0</v>
      </c>
      <c r="AE55" s="101">
        <f>IF(AQ55="7",BI55,0)</f>
        <v>0</v>
      </c>
      <c r="AF55" s="101">
        <f>IF(AQ55="2",BH55,0)</f>
        <v>0</v>
      </c>
      <c r="AG55" s="101">
        <f>IF(AQ55="2",BI55,0)</f>
        <v>0</v>
      </c>
      <c r="AH55" s="101">
        <f>IF(AQ55="0",BJ55,0)</f>
        <v>0</v>
      </c>
      <c r="AI55" s="93" t="s">
        <v>358</v>
      </c>
      <c r="AJ55" s="99">
        <f>IF(AN55=0,K55,0)</f>
        <v>0</v>
      </c>
      <c r="AK55" s="99">
        <f>IF(AN55=15,K55,0)</f>
        <v>0</v>
      </c>
      <c r="AL55" s="99">
        <f>IF(AN55=21,K55,0)</f>
        <v>0</v>
      </c>
      <c r="AN55" s="101">
        <v>21</v>
      </c>
      <c r="AO55" s="101">
        <f>H55*0</f>
        <v>0</v>
      </c>
      <c r="AP55" s="101">
        <f>H55*(1-0)</f>
        <v>0</v>
      </c>
      <c r="AQ55" s="100" t="s">
        <v>57</v>
      </c>
      <c r="AV55" s="101">
        <f>AW55+AX55</f>
        <v>0</v>
      </c>
      <c r="AW55" s="101">
        <f>G55*AO55</f>
        <v>0</v>
      </c>
      <c r="AX55" s="101">
        <f>G55*AP55</f>
        <v>0</v>
      </c>
      <c r="AY55" s="102" t="s">
        <v>366</v>
      </c>
      <c r="AZ55" s="102" t="s">
        <v>374</v>
      </c>
      <c r="BA55" s="93" t="s">
        <v>391</v>
      </c>
      <c r="BC55" s="101">
        <f>AW55+AX55</f>
        <v>0</v>
      </c>
      <c r="BD55" s="101">
        <f>H55/(100-BE55)*100</f>
        <v>0</v>
      </c>
      <c r="BE55" s="101">
        <v>0</v>
      </c>
      <c r="BF55" s="101">
        <f>55</f>
        <v>55</v>
      </c>
      <c r="BH55" s="99">
        <f>G55*AO55</f>
        <v>0</v>
      </c>
      <c r="BI55" s="99">
        <f>G55*AP55</f>
        <v>0</v>
      </c>
      <c r="BJ55" s="99">
        <f>G55*H55</f>
        <v>0</v>
      </c>
    </row>
    <row r="56" spans="1:12" ht="12.75">
      <c r="A56" s="14"/>
      <c r="B56" s="21"/>
      <c r="C56" s="50" t="s">
        <v>255</v>
      </c>
      <c r="D56" s="51"/>
      <c r="E56" s="51"/>
      <c r="F56" s="14" t="s">
        <v>56</v>
      </c>
      <c r="G56" s="14" t="s">
        <v>56</v>
      </c>
      <c r="H56" s="103" t="s">
        <v>56</v>
      </c>
      <c r="I56" s="104">
        <f>I57</f>
        <v>0</v>
      </c>
      <c r="J56" s="104">
        <f>J57</f>
        <v>0</v>
      </c>
      <c r="K56" s="104">
        <f>K57</f>
        <v>0</v>
      </c>
      <c r="L56" s="105"/>
    </row>
    <row r="57" spans="1:47" ht="12.75">
      <c r="A57" s="12"/>
      <c r="B57" s="20" t="s">
        <v>67</v>
      </c>
      <c r="C57" s="46" t="s">
        <v>231</v>
      </c>
      <c r="D57" s="47"/>
      <c r="E57" s="47"/>
      <c r="F57" s="12" t="s">
        <v>56</v>
      </c>
      <c r="G57" s="12" t="s">
        <v>56</v>
      </c>
      <c r="H57" s="97" t="s">
        <v>56</v>
      </c>
      <c r="I57" s="98">
        <f>SUM(I58:I59)</f>
        <v>0</v>
      </c>
      <c r="J57" s="98">
        <f>SUM(J58:J59)</f>
        <v>0</v>
      </c>
      <c r="K57" s="98">
        <f>SUM(K58:K59)</f>
        <v>0</v>
      </c>
      <c r="L57" s="93"/>
      <c r="AI57" s="93" t="s">
        <v>359</v>
      </c>
      <c r="AS57" s="98">
        <f>SUM(AJ58:AJ59)</f>
        <v>0</v>
      </c>
      <c r="AT57" s="98">
        <f>SUM(AK58:AK59)</f>
        <v>0</v>
      </c>
      <c r="AU57" s="98">
        <f>SUM(AL58:AL59)</f>
        <v>0</v>
      </c>
    </row>
    <row r="58" spans="1:62" ht="12.75">
      <c r="A58" s="13" t="s">
        <v>95</v>
      </c>
      <c r="B58" s="13" t="s">
        <v>182</v>
      </c>
      <c r="C58" s="48" t="s">
        <v>253</v>
      </c>
      <c r="D58" s="49"/>
      <c r="E58" s="49"/>
      <c r="F58" s="13" t="s">
        <v>325</v>
      </c>
      <c r="G58" s="23">
        <v>5693</v>
      </c>
      <c r="H58" s="99">
        <v>0</v>
      </c>
      <c r="I58" s="99">
        <f>G58*AO58</f>
        <v>0</v>
      </c>
      <c r="J58" s="99">
        <f>G58*AP58</f>
        <v>0</v>
      </c>
      <c r="K58" s="99">
        <f>G58*H58</f>
        <v>0</v>
      </c>
      <c r="L58" s="100" t="s">
        <v>346</v>
      </c>
      <c r="Z58" s="101">
        <f>IF(AQ58="5",BJ58,0)</f>
        <v>0</v>
      </c>
      <c r="AB58" s="101">
        <f>IF(AQ58="1",BH58,0)</f>
        <v>0</v>
      </c>
      <c r="AC58" s="101">
        <f>IF(AQ58="1",BI58,0)</f>
        <v>0</v>
      </c>
      <c r="AD58" s="101">
        <f>IF(AQ58="7",BH58,0)</f>
        <v>0</v>
      </c>
      <c r="AE58" s="101">
        <f>IF(AQ58="7",BI58,0)</f>
        <v>0</v>
      </c>
      <c r="AF58" s="101">
        <f>IF(AQ58="2",BH58,0)</f>
        <v>0</v>
      </c>
      <c r="AG58" s="101">
        <f>IF(AQ58="2",BI58,0)</f>
        <v>0</v>
      </c>
      <c r="AH58" s="101">
        <f>IF(AQ58="0",BJ58,0)</f>
        <v>0</v>
      </c>
      <c r="AI58" s="93" t="s">
        <v>359</v>
      </c>
      <c r="AJ58" s="99">
        <f>IF(AN58=0,K58,0)</f>
        <v>0</v>
      </c>
      <c r="AK58" s="99">
        <f>IF(AN58=15,K58,0)</f>
        <v>0</v>
      </c>
      <c r="AL58" s="99">
        <f>IF(AN58=21,K58,0)</f>
        <v>0</v>
      </c>
      <c r="AN58" s="101">
        <v>21</v>
      </c>
      <c r="AO58" s="101">
        <f>H58*0</f>
        <v>0</v>
      </c>
      <c r="AP58" s="101">
        <f>H58*(1-0)</f>
        <v>0</v>
      </c>
      <c r="AQ58" s="100" t="s">
        <v>57</v>
      </c>
      <c r="AV58" s="101">
        <f>AW58+AX58</f>
        <v>0</v>
      </c>
      <c r="AW58" s="101">
        <f>G58*AO58</f>
        <v>0</v>
      </c>
      <c r="AX58" s="101">
        <f>G58*AP58</f>
        <v>0</v>
      </c>
      <c r="AY58" s="102" t="s">
        <v>366</v>
      </c>
      <c r="AZ58" s="102" t="s">
        <v>375</v>
      </c>
      <c r="BA58" s="93" t="s">
        <v>392</v>
      </c>
      <c r="BC58" s="101">
        <f>AW58+AX58</f>
        <v>0</v>
      </c>
      <c r="BD58" s="101">
        <f>H58/(100-BE58)*100</f>
        <v>0</v>
      </c>
      <c r="BE58" s="101">
        <v>0</v>
      </c>
      <c r="BF58" s="101">
        <f>58</f>
        <v>58</v>
      </c>
      <c r="BH58" s="99">
        <f>G58*AO58</f>
        <v>0</v>
      </c>
      <c r="BI58" s="99">
        <f>G58*AP58</f>
        <v>0</v>
      </c>
      <c r="BJ58" s="99">
        <f>G58*H58</f>
        <v>0</v>
      </c>
    </row>
    <row r="59" spans="1:62" ht="12.75">
      <c r="A59" s="13" t="s">
        <v>96</v>
      </c>
      <c r="B59" s="13" t="s">
        <v>178</v>
      </c>
      <c r="C59" s="48" t="s">
        <v>256</v>
      </c>
      <c r="D59" s="49"/>
      <c r="E59" s="49"/>
      <c r="F59" s="13" t="s">
        <v>324</v>
      </c>
      <c r="G59" s="23">
        <v>18</v>
      </c>
      <c r="H59" s="99">
        <v>0</v>
      </c>
      <c r="I59" s="99">
        <f>G59*AO59</f>
        <v>0</v>
      </c>
      <c r="J59" s="99">
        <f>G59*AP59</f>
        <v>0</v>
      </c>
      <c r="K59" s="99">
        <f>G59*H59</f>
        <v>0</v>
      </c>
      <c r="L59" s="100" t="s">
        <v>345</v>
      </c>
      <c r="Z59" s="101">
        <f>IF(AQ59="5",BJ59,0)</f>
        <v>0</v>
      </c>
      <c r="AB59" s="101">
        <f>IF(AQ59="1",BH59,0)</f>
        <v>0</v>
      </c>
      <c r="AC59" s="101">
        <f>IF(AQ59="1",BI59,0)</f>
        <v>0</v>
      </c>
      <c r="AD59" s="101">
        <f>IF(AQ59="7",BH59,0)</f>
        <v>0</v>
      </c>
      <c r="AE59" s="101">
        <f>IF(AQ59="7",BI59,0)</f>
        <v>0</v>
      </c>
      <c r="AF59" s="101">
        <f>IF(AQ59="2",BH59,0)</f>
        <v>0</v>
      </c>
      <c r="AG59" s="101">
        <f>IF(AQ59="2",BI59,0)</f>
        <v>0</v>
      </c>
      <c r="AH59" s="101">
        <f>IF(AQ59="0",BJ59,0)</f>
        <v>0</v>
      </c>
      <c r="AI59" s="93" t="s">
        <v>359</v>
      </c>
      <c r="AJ59" s="99">
        <f>IF(AN59=0,K59,0)</f>
        <v>0</v>
      </c>
      <c r="AK59" s="99">
        <f>IF(AN59=15,K59,0)</f>
        <v>0</v>
      </c>
      <c r="AL59" s="99">
        <f>IF(AN59=21,K59,0)</f>
        <v>0</v>
      </c>
      <c r="AN59" s="101">
        <v>21</v>
      </c>
      <c r="AO59" s="101">
        <f>H59*0</f>
        <v>0</v>
      </c>
      <c r="AP59" s="101">
        <f>H59*(1-0)</f>
        <v>0</v>
      </c>
      <c r="AQ59" s="100" t="s">
        <v>57</v>
      </c>
      <c r="AV59" s="101">
        <f>AW59+AX59</f>
        <v>0</v>
      </c>
      <c r="AW59" s="101">
        <f>G59*AO59</f>
        <v>0</v>
      </c>
      <c r="AX59" s="101">
        <f>G59*AP59</f>
        <v>0</v>
      </c>
      <c r="AY59" s="102" t="s">
        <v>366</v>
      </c>
      <c r="AZ59" s="102" t="s">
        <v>375</v>
      </c>
      <c r="BA59" s="93" t="s">
        <v>392</v>
      </c>
      <c r="BC59" s="101">
        <f>AW59+AX59</f>
        <v>0</v>
      </c>
      <c r="BD59" s="101">
        <f>H59/(100-BE59)*100</f>
        <v>0</v>
      </c>
      <c r="BE59" s="101">
        <v>0</v>
      </c>
      <c r="BF59" s="101">
        <f>59</f>
        <v>59</v>
      </c>
      <c r="BH59" s="99">
        <f>G59*AO59</f>
        <v>0</v>
      </c>
      <c r="BI59" s="99">
        <f>G59*AP59</f>
        <v>0</v>
      </c>
      <c r="BJ59" s="99">
        <f>G59*H59</f>
        <v>0</v>
      </c>
    </row>
    <row r="60" spans="1:12" ht="12.75">
      <c r="A60" s="14"/>
      <c r="B60" s="21"/>
      <c r="C60" s="50" t="s">
        <v>257</v>
      </c>
      <c r="D60" s="51"/>
      <c r="E60" s="51"/>
      <c r="F60" s="14" t="s">
        <v>56</v>
      </c>
      <c r="G60" s="14" t="s">
        <v>56</v>
      </c>
      <c r="H60" s="103" t="s">
        <v>56</v>
      </c>
      <c r="I60" s="104">
        <f>I61</f>
        <v>0</v>
      </c>
      <c r="J60" s="104">
        <f>J61</f>
        <v>0</v>
      </c>
      <c r="K60" s="104">
        <f>K61</f>
        <v>0</v>
      </c>
      <c r="L60" s="105"/>
    </row>
    <row r="61" spans="1:47" ht="12.75">
      <c r="A61" s="12"/>
      <c r="B61" s="20" t="s">
        <v>183</v>
      </c>
      <c r="C61" s="46" t="s">
        <v>258</v>
      </c>
      <c r="D61" s="47"/>
      <c r="E61" s="47"/>
      <c r="F61" s="12" t="s">
        <v>56</v>
      </c>
      <c r="G61" s="12" t="s">
        <v>56</v>
      </c>
      <c r="H61" s="97" t="s">
        <v>56</v>
      </c>
      <c r="I61" s="98">
        <f>SUM(I62:I76)</f>
        <v>0</v>
      </c>
      <c r="J61" s="98">
        <f>SUM(J62:J76)</f>
        <v>0</v>
      </c>
      <c r="K61" s="98">
        <f>SUM(K62:K76)</f>
        <v>0</v>
      </c>
      <c r="L61" s="93"/>
      <c r="AI61" s="93" t="s">
        <v>360</v>
      </c>
      <c r="AS61" s="98">
        <f>SUM(AJ62:AJ76)</f>
        <v>0</v>
      </c>
      <c r="AT61" s="98">
        <f>SUM(AK62:AK76)</f>
        <v>0</v>
      </c>
      <c r="AU61" s="98">
        <f>SUM(AL62:AL76)</f>
        <v>0</v>
      </c>
    </row>
    <row r="62" spans="1:62" ht="12.75">
      <c r="A62" s="13" t="s">
        <v>97</v>
      </c>
      <c r="B62" s="13" t="s">
        <v>184</v>
      </c>
      <c r="C62" s="48" t="s">
        <v>259</v>
      </c>
      <c r="D62" s="49"/>
      <c r="E62" s="49"/>
      <c r="F62" s="13" t="s">
        <v>323</v>
      </c>
      <c r="G62" s="23">
        <v>23</v>
      </c>
      <c r="H62" s="99">
        <v>0</v>
      </c>
      <c r="I62" s="99">
        <f aca="true" t="shared" si="48" ref="I62:I76">G62*AO62</f>
        <v>0</v>
      </c>
      <c r="J62" s="99">
        <f aca="true" t="shared" si="49" ref="J62:J76">G62*AP62</f>
        <v>0</v>
      </c>
      <c r="K62" s="99">
        <f aca="true" t="shared" si="50" ref="K62:K76">G62*H62</f>
        <v>0</v>
      </c>
      <c r="L62" s="100"/>
      <c r="Z62" s="101">
        <f aca="true" t="shared" si="51" ref="Z62:Z76">IF(AQ62="5",BJ62,0)</f>
        <v>0</v>
      </c>
      <c r="AB62" s="101">
        <f aca="true" t="shared" si="52" ref="AB62:AB76">IF(AQ62="1",BH62,0)</f>
        <v>0</v>
      </c>
      <c r="AC62" s="101">
        <f aca="true" t="shared" si="53" ref="AC62:AC76">IF(AQ62="1",BI62,0)</f>
        <v>0</v>
      </c>
      <c r="AD62" s="101">
        <f aca="true" t="shared" si="54" ref="AD62:AD76">IF(AQ62="7",BH62,0)</f>
        <v>0</v>
      </c>
      <c r="AE62" s="101">
        <f aca="true" t="shared" si="55" ref="AE62:AE76">IF(AQ62="7",BI62,0)</f>
        <v>0</v>
      </c>
      <c r="AF62" s="101">
        <f aca="true" t="shared" si="56" ref="AF62:AF76">IF(AQ62="2",BH62,0)</f>
        <v>0</v>
      </c>
      <c r="AG62" s="101">
        <f aca="true" t="shared" si="57" ref="AG62:AG76">IF(AQ62="2",BI62,0)</f>
        <v>0</v>
      </c>
      <c r="AH62" s="101">
        <f aca="true" t="shared" si="58" ref="AH62:AH76">IF(AQ62="0",BJ62,0)</f>
        <v>0</v>
      </c>
      <c r="AI62" s="93" t="s">
        <v>360</v>
      </c>
      <c r="AJ62" s="99">
        <f aca="true" t="shared" si="59" ref="AJ62:AJ76">IF(AN62=0,K62,0)</f>
        <v>0</v>
      </c>
      <c r="AK62" s="99">
        <f aca="true" t="shared" si="60" ref="AK62:AK76">IF(AN62=15,K62,0)</f>
        <v>0</v>
      </c>
      <c r="AL62" s="99">
        <f aca="true" t="shared" si="61" ref="AL62:AL76">IF(AN62=21,K62,0)</f>
        <v>0</v>
      </c>
      <c r="AN62" s="101">
        <v>21</v>
      </c>
      <c r="AO62" s="101">
        <f aca="true" t="shared" si="62" ref="AO62:AO76">H62*0</f>
        <v>0</v>
      </c>
      <c r="AP62" s="101">
        <f aca="true" t="shared" si="63" ref="AP62:AP76">H62*(1-0)</f>
        <v>0</v>
      </c>
      <c r="AQ62" s="100" t="s">
        <v>57</v>
      </c>
      <c r="AV62" s="101">
        <f aca="true" t="shared" si="64" ref="AV62:AV76">AW62+AX62</f>
        <v>0</v>
      </c>
      <c r="AW62" s="101">
        <f aca="true" t="shared" si="65" ref="AW62:AW76">G62*AO62</f>
        <v>0</v>
      </c>
      <c r="AX62" s="101">
        <f aca="true" t="shared" si="66" ref="AX62:AX76">G62*AP62</f>
        <v>0</v>
      </c>
      <c r="AY62" s="102" t="s">
        <v>367</v>
      </c>
      <c r="AZ62" s="102" t="s">
        <v>376</v>
      </c>
      <c r="BA62" s="93" t="s">
        <v>393</v>
      </c>
      <c r="BC62" s="101">
        <f aca="true" t="shared" si="67" ref="BC62:BC76">AW62+AX62</f>
        <v>0</v>
      </c>
      <c r="BD62" s="101">
        <f aca="true" t="shared" si="68" ref="BD62:BD76">H62/(100-BE62)*100</f>
        <v>0</v>
      </c>
      <c r="BE62" s="101">
        <v>0</v>
      </c>
      <c r="BF62" s="101">
        <f>62</f>
        <v>62</v>
      </c>
      <c r="BH62" s="99">
        <f aca="true" t="shared" si="69" ref="BH62:BH76">G62*AO62</f>
        <v>0</v>
      </c>
      <c r="BI62" s="99">
        <f aca="true" t="shared" si="70" ref="BI62:BI76">G62*AP62</f>
        <v>0</v>
      </c>
      <c r="BJ62" s="99">
        <f aca="true" t="shared" si="71" ref="BJ62:BJ76">G62*H62</f>
        <v>0</v>
      </c>
    </row>
    <row r="63" spans="1:62" ht="12.75">
      <c r="A63" s="13" t="s">
        <v>98</v>
      </c>
      <c r="B63" s="13" t="s">
        <v>185</v>
      </c>
      <c r="C63" s="48" t="s">
        <v>260</v>
      </c>
      <c r="D63" s="49"/>
      <c r="E63" s="49"/>
      <c r="F63" s="13" t="s">
        <v>323</v>
      </c>
      <c r="G63" s="23">
        <v>15</v>
      </c>
      <c r="H63" s="99">
        <v>0</v>
      </c>
      <c r="I63" s="99">
        <f t="shared" si="48"/>
        <v>0</v>
      </c>
      <c r="J63" s="99">
        <f t="shared" si="49"/>
        <v>0</v>
      </c>
      <c r="K63" s="99">
        <f t="shared" si="50"/>
        <v>0</v>
      </c>
      <c r="L63" s="100"/>
      <c r="Z63" s="101">
        <f t="shared" si="51"/>
        <v>0</v>
      </c>
      <c r="AB63" s="101">
        <f t="shared" si="52"/>
        <v>0</v>
      </c>
      <c r="AC63" s="101">
        <f t="shared" si="53"/>
        <v>0</v>
      </c>
      <c r="AD63" s="101">
        <f t="shared" si="54"/>
        <v>0</v>
      </c>
      <c r="AE63" s="101">
        <f t="shared" si="55"/>
        <v>0</v>
      </c>
      <c r="AF63" s="101">
        <f t="shared" si="56"/>
        <v>0</v>
      </c>
      <c r="AG63" s="101">
        <f t="shared" si="57"/>
        <v>0</v>
      </c>
      <c r="AH63" s="101">
        <f t="shared" si="58"/>
        <v>0</v>
      </c>
      <c r="AI63" s="93" t="s">
        <v>360</v>
      </c>
      <c r="AJ63" s="99">
        <f t="shared" si="59"/>
        <v>0</v>
      </c>
      <c r="AK63" s="99">
        <f t="shared" si="60"/>
        <v>0</v>
      </c>
      <c r="AL63" s="99">
        <f t="shared" si="61"/>
        <v>0</v>
      </c>
      <c r="AN63" s="101">
        <v>21</v>
      </c>
      <c r="AO63" s="101">
        <f t="shared" si="62"/>
        <v>0</v>
      </c>
      <c r="AP63" s="101">
        <f t="shared" si="63"/>
        <v>0</v>
      </c>
      <c r="AQ63" s="100" t="s">
        <v>57</v>
      </c>
      <c r="AV63" s="101">
        <f t="shared" si="64"/>
        <v>0</v>
      </c>
      <c r="AW63" s="101">
        <f t="shared" si="65"/>
        <v>0</v>
      </c>
      <c r="AX63" s="101">
        <f t="shared" si="66"/>
        <v>0</v>
      </c>
      <c r="AY63" s="102" t="s">
        <v>367</v>
      </c>
      <c r="AZ63" s="102" t="s">
        <v>376</v>
      </c>
      <c r="BA63" s="93" t="s">
        <v>393</v>
      </c>
      <c r="BC63" s="101">
        <f t="shared" si="67"/>
        <v>0</v>
      </c>
      <c r="BD63" s="101">
        <f t="shared" si="68"/>
        <v>0</v>
      </c>
      <c r="BE63" s="101">
        <v>0</v>
      </c>
      <c r="BF63" s="101">
        <f>63</f>
        <v>63</v>
      </c>
      <c r="BH63" s="99">
        <f t="shared" si="69"/>
        <v>0</v>
      </c>
      <c r="BI63" s="99">
        <f t="shared" si="70"/>
        <v>0</v>
      </c>
      <c r="BJ63" s="99">
        <f t="shared" si="71"/>
        <v>0</v>
      </c>
    </row>
    <row r="64" spans="1:62" ht="12.75">
      <c r="A64" s="13" t="s">
        <v>99</v>
      </c>
      <c r="B64" s="13" t="s">
        <v>186</v>
      </c>
      <c r="C64" s="48" t="s">
        <v>261</v>
      </c>
      <c r="D64" s="49"/>
      <c r="E64" s="49"/>
      <c r="F64" s="13" t="s">
        <v>323</v>
      </c>
      <c r="G64" s="23">
        <v>29</v>
      </c>
      <c r="H64" s="99">
        <v>0</v>
      </c>
      <c r="I64" s="99">
        <f t="shared" si="48"/>
        <v>0</v>
      </c>
      <c r="J64" s="99">
        <f t="shared" si="49"/>
        <v>0</v>
      </c>
      <c r="K64" s="99">
        <f t="shared" si="50"/>
        <v>0</v>
      </c>
      <c r="L64" s="100"/>
      <c r="Z64" s="101">
        <f t="shared" si="51"/>
        <v>0</v>
      </c>
      <c r="AB64" s="101">
        <f t="shared" si="52"/>
        <v>0</v>
      </c>
      <c r="AC64" s="101">
        <f t="shared" si="53"/>
        <v>0</v>
      </c>
      <c r="AD64" s="101">
        <f t="shared" si="54"/>
        <v>0</v>
      </c>
      <c r="AE64" s="101">
        <f t="shared" si="55"/>
        <v>0</v>
      </c>
      <c r="AF64" s="101">
        <f t="shared" si="56"/>
        <v>0</v>
      </c>
      <c r="AG64" s="101">
        <f t="shared" si="57"/>
        <v>0</v>
      </c>
      <c r="AH64" s="101">
        <f t="shared" si="58"/>
        <v>0</v>
      </c>
      <c r="AI64" s="93" t="s">
        <v>360</v>
      </c>
      <c r="AJ64" s="99">
        <f t="shared" si="59"/>
        <v>0</v>
      </c>
      <c r="AK64" s="99">
        <f t="shared" si="60"/>
        <v>0</v>
      </c>
      <c r="AL64" s="99">
        <f t="shared" si="61"/>
        <v>0</v>
      </c>
      <c r="AN64" s="101">
        <v>21</v>
      </c>
      <c r="AO64" s="101">
        <f t="shared" si="62"/>
        <v>0</v>
      </c>
      <c r="AP64" s="101">
        <f t="shared" si="63"/>
        <v>0</v>
      </c>
      <c r="AQ64" s="100" t="s">
        <v>57</v>
      </c>
      <c r="AV64" s="101">
        <f t="shared" si="64"/>
        <v>0</v>
      </c>
      <c r="AW64" s="101">
        <f t="shared" si="65"/>
        <v>0</v>
      </c>
      <c r="AX64" s="101">
        <f t="shared" si="66"/>
        <v>0</v>
      </c>
      <c r="AY64" s="102" t="s">
        <v>367</v>
      </c>
      <c r="AZ64" s="102" t="s">
        <v>376</v>
      </c>
      <c r="BA64" s="93" t="s">
        <v>393</v>
      </c>
      <c r="BC64" s="101">
        <f t="shared" si="67"/>
        <v>0</v>
      </c>
      <c r="BD64" s="101">
        <f t="shared" si="68"/>
        <v>0</v>
      </c>
      <c r="BE64" s="101">
        <v>0</v>
      </c>
      <c r="BF64" s="101">
        <f>64</f>
        <v>64</v>
      </c>
      <c r="BH64" s="99">
        <f t="shared" si="69"/>
        <v>0</v>
      </c>
      <c r="BI64" s="99">
        <f t="shared" si="70"/>
        <v>0</v>
      </c>
      <c r="BJ64" s="99">
        <f t="shared" si="71"/>
        <v>0</v>
      </c>
    </row>
    <row r="65" spans="1:62" ht="12.75">
      <c r="A65" s="13" t="s">
        <v>100</v>
      </c>
      <c r="B65" s="13" t="s">
        <v>187</v>
      </c>
      <c r="C65" s="48" t="s">
        <v>262</v>
      </c>
      <c r="D65" s="49"/>
      <c r="E65" s="49"/>
      <c r="F65" s="13" t="s">
        <v>323</v>
      </c>
      <c r="G65" s="23">
        <v>13</v>
      </c>
      <c r="H65" s="99">
        <v>0</v>
      </c>
      <c r="I65" s="99">
        <f t="shared" si="48"/>
        <v>0</v>
      </c>
      <c r="J65" s="99">
        <f t="shared" si="49"/>
        <v>0</v>
      </c>
      <c r="K65" s="99">
        <f t="shared" si="50"/>
        <v>0</v>
      </c>
      <c r="L65" s="100"/>
      <c r="Z65" s="101">
        <f t="shared" si="51"/>
        <v>0</v>
      </c>
      <c r="AB65" s="101">
        <f t="shared" si="52"/>
        <v>0</v>
      </c>
      <c r="AC65" s="101">
        <f t="shared" si="53"/>
        <v>0</v>
      </c>
      <c r="AD65" s="101">
        <f t="shared" si="54"/>
        <v>0</v>
      </c>
      <c r="AE65" s="101">
        <f t="shared" si="55"/>
        <v>0</v>
      </c>
      <c r="AF65" s="101">
        <f t="shared" si="56"/>
        <v>0</v>
      </c>
      <c r="AG65" s="101">
        <f t="shared" si="57"/>
        <v>0</v>
      </c>
      <c r="AH65" s="101">
        <f t="shared" si="58"/>
        <v>0</v>
      </c>
      <c r="AI65" s="93" t="s">
        <v>360</v>
      </c>
      <c r="AJ65" s="99">
        <f t="shared" si="59"/>
        <v>0</v>
      </c>
      <c r="AK65" s="99">
        <f t="shared" si="60"/>
        <v>0</v>
      </c>
      <c r="AL65" s="99">
        <f t="shared" si="61"/>
        <v>0</v>
      </c>
      <c r="AN65" s="101">
        <v>21</v>
      </c>
      <c r="AO65" s="101">
        <f t="shared" si="62"/>
        <v>0</v>
      </c>
      <c r="AP65" s="101">
        <f t="shared" si="63"/>
        <v>0</v>
      </c>
      <c r="AQ65" s="100" t="s">
        <v>57</v>
      </c>
      <c r="AV65" s="101">
        <f t="shared" si="64"/>
        <v>0</v>
      </c>
      <c r="AW65" s="101">
        <f t="shared" si="65"/>
        <v>0</v>
      </c>
      <c r="AX65" s="101">
        <f t="shared" si="66"/>
        <v>0</v>
      </c>
      <c r="AY65" s="102" t="s">
        <v>367</v>
      </c>
      <c r="AZ65" s="102" t="s">
        <v>376</v>
      </c>
      <c r="BA65" s="93" t="s">
        <v>393</v>
      </c>
      <c r="BC65" s="101">
        <f t="shared" si="67"/>
        <v>0</v>
      </c>
      <c r="BD65" s="101">
        <f t="shared" si="68"/>
        <v>0</v>
      </c>
      <c r="BE65" s="101">
        <v>0</v>
      </c>
      <c r="BF65" s="101">
        <f>65</f>
        <v>65</v>
      </c>
      <c r="BH65" s="99">
        <f t="shared" si="69"/>
        <v>0</v>
      </c>
      <c r="BI65" s="99">
        <f t="shared" si="70"/>
        <v>0</v>
      </c>
      <c r="BJ65" s="99">
        <f t="shared" si="71"/>
        <v>0</v>
      </c>
    </row>
    <row r="66" spans="1:62" ht="12.75">
      <c r="A66" s="13" t="s">
        <v>101</v>
      </c>
      <c r="B66" s="13" t="s">
        <v>188</v>
      </c>
      <c r="C66" s="48" t="s">
        <v>263</v>
      </c>
      <c r="D66" s="49"/>
      <c r="E66" s="49"/>
      <c r="F66" s="13" t="s">
        <v>323</v>
      </c>
      <c r="G66" s="23">
        <v>6</v>
      </c>
      <c r="H66" s="99">
        <v>0</v>
      </c>
      <c r="I66" s="99">
        <f t="shared" si="48"/>
        <v>0</v>
      </c>
      <c r="J66" s="99">
        <f t="shared" si="49"/>
        <v>0</v>
      </c>
      <c r="K66" s="99">
        <f t="shared" si="50"/>
        <v>0</v>
      </c>
      <c r="L66" s="100"/>
      <c r="Z66" s="101">
        <f t="shared" si="51"/>
        <v>0</v>
      </c>
      <c r="AB66" s="101">
        <f t="shared" si="52"/>
        <v>0</v>
      </c>
      <c r="AC66" s="101">
        <f t="shared" si="53"/>
        <v>0</v>
      </c>
      <c r="AD66" s="101">
        <f t="shared" si="54"/>
        <v>0</v>
      </c>
      <c r="AE66" s="101">
        <f t="shared" si="55"/>
        <v>0</v>
      </c>
      <c r="AF66" s="101">
        <f t="shared" si="56"/>
        <v>0</v>
      </c>
      <c r="AG66" s="101">
        <f t="shared" si="57"/>
        <v>0</v>
      </c>
      <c r="AH66" s="101">
        <f t="shared" si="58"/>
        <v>0</v>
      </c>
      <c r="AI66" s="93" t="s">
        <v>360</v>
      </c>
      <c r="AJ66" s="99">
        <f t="shared" si="59"/>
        <v>0</v>
      </c>
      <c r="AK66" s="99">
        <f t="shared" si="60"/>
        <v>0</v>
      </c>
      <c r="AL66" s="99">
        <f t="shared" si="61"/>
        <v>0</v>
      </c>
      <c r="AN66" s="101">
        <v>21</v>
      </c>
      <c r="AO66" s="101">
        <f t="shared" si="62"/>
        <v>0</v>
      </c>
      <c r="AP66" s="101">
        <f t="shared" si="63"/>
        <v>0</v>
      </c>
      <c r="AQ66" s="100" t="s">
        <v>57</v>
      </c>
      <c r="AV66" s="101">
        <f t="shared" si="64"/>
        <v>0</v>
      </c>
      <c r="AW66" s="101">
        <f t="shared" si="65"/>
        <v>0</v>
      </c>
      <c r="AX66" s="101">
        <f t="shared" si="66"/>
        <v>0</v>
      </c>
      <c r="AY66" s="102" t="s">
        <v>367</v>
      </c>
      <c r="AZ66" s="102" t="s">
        <v>376</v>
      </c>
      <c r="BA66" s="93" t="s">
        <v>393</v>
      </c>
      <c r="BC66" s="101">
        <f t="shared" si="67"/>
        <v>0</v>
      </c>
      <c r="BD66" s="101">
        <f t="shared" si="68"/>
        <v>0</v>
      </c>
      <c r="BE66" s="101">
        <v>0</v>
      </c>
      <c r="BF66" s="101">
        <f>66</f>
        <v>66</v>
      </c>
      <c r="BH66" s="99">
        <f t="shared" si="69"/>
        <v>0</v>
      </c>
      <c r="BI66" s="99">
        <f t="shared" si="70"/>
        <v>0</v>
      </c>
      <c r="BJ66" s="99">
        <f t="shared" si="71"/>
        <v>0</v>
      </c>
    </row>
    <row r="67" spans="1:62" ht="12.75">
      <c r="A67" s="13" t="s">
        <v>102</v>
      </c>
      <c r="B67" s="13" t="s">
        <v>189</v>
      </c>
      <c r="C67" s="48" t="s">
        <v>264</v>
      </c>
      <c r="D67" s="49"/>
      <c r="E67" s="49"/>
      <c r="F67" s="13" t="s">
        <v>323</v>
      </c>
      <c r="G67" s="23">
        <v>1</v>
      </c>
      <c r="H67" s="99">
        <v>0</v>
      </c>
      <c r="I67" s="99">
        <f t="shared" si="48"/>
        <v>0</v>
      </c>
      <c r="J67" s="99">
        <f t="shared" si="49"/>
        <v>0</v>
      </c>
      <c r="K67" s="99">
        <f t="shared" si="50"/>
        <v>0</v>
      </c>
      <c r="L67" s="100"/>
      <c r="Z67" s="101">
        <f t="shared" si="51"/>
        <v>0</v>
      </c>
      <c r="AB67" s="101">
        <f t="shared" si="52"/>
        <v>0</v>
      </c>
      <c r="AC67" s="101">
        <f t="shared" si="53"/>
        <v>0</v>
      </c>
      <c r="AD67" s="101">
        <f t="shared" si="54"/>
        <v>0</v>
      </c>
      <c r="AE67" s="101">
        <f t="shared" si="55"/>
        <v>0</v>
      </c>
      <c r="AF67" s="101">
        <f t="shared" si="56"/>
        <v>0</v>
      </c>
      <c r="AG67" s="101">
        <f t="shared" si="57"/>
        <v>0</v>
      </c>
      <c r="AH67" s="101">
        <f t="shared" si="58"/>
        <v>0</v>
      </c>
      <c r="AI67" s="93" t="s">
        <v>360</v>
      </c>
      <c r="AJ67" s="99">
        <f t="shared" si="59"/>
        <v>0</v>
      </c>
      <c r="AK67" s="99">
        <f t="shared" si="60"/>
        <v>0</v>
      </c>
      <c r="AL67" s="99">
        <f t="shared" si="61"/>
        <v>0</v>
      </c>
      <c r="AN67" s="101">
        <v>21</v>
      </c>
      <c r="AO67" s="101">
        <f t="shared" si="62"/>
        <v>0</v>
      </c>
      <c r="AP67" s="101">
        <f t="shared" si="63"/>
        <v>0</v>
      </c>
      <c r="AQ67" s="100" t="s">
        <v>57</v>
      </c>
      <c r="AV67" s="101">
        <f t="shared" si="64"/>
        <v>0</v>
      </c>
      <c r="AW67" s="101">
        <f t="shared" si="65"/>
        <v>0</v>
      </c>
      <c r="AX67" s="101">
        <f t="shared" si="66"/>
        <v>0</v>
      </c>
      <c r="AY67" s="102" t="s">
        <v>367</v>
      </c>
      <c r="AZ67" s="102" t="s">
        <v>376</v>
      </c>
      <c r="BA67" s="93" t="s">
        <v>393</v>
      </c>
      <c r="BC67" s="101">
        <f t="shared" si="67"/>
        <v>0</v>
      </c>
      <c r="BD67" s="101">
        <f t="shared" si="68"/>
        <v>0</v>
      </c>
      <c r="BE67" s="101">
        <v>0</v>
      </c>
      <c r="BF67" s="101">
        <f>67</f>
        <v>67</v>
      </c>
      <c r="BH67" s="99">
        <f t="shared" si="69"/>
        <v>0</v>
      </c>
      <c r="BI67" s="99">
        <f t="shared" si="70"/>
        <v>0</v>
      </c>
      <c r="BJ67" s="99">
        <f t="shared" si="71"/>
        <v>0</v>
      </c>
    </row>
    <row r="68" spans="1:62" ht="12.75">
      <c r="A68" s="13" t="s">
        <v>103</v>
      </c>
      <c r="B68" s="13" t="s">
        <v>190</v>
      </c>
      <c r="C68" s="48" t="s">
        <v>265</v>
      </c>
      <c r="D68" s="49"/>
      <c r="E68" s="49"/>
      <c r="F68" s="13" t="s">
        <v>323</v>
      </c>
      <c r="G68" s="23">
        <v>1</v>
      </c>
      <c r="H68" s="99">
        <v>0</v>
      </c>
      <c r="I68" s="99">
        <f t="shared" si="48"/>
        <v>0</v>
      </c>
      <c r="J68" s="99">
        <f t="shared" si="49"/>
        <v>0</v>
      </c>
      <c r="K68" s="99">
        <f t="shared" si="50"/>
        <v>0</v>
      </c>
      <c r="L68" s="100"/>
      <c r="Z68" s="101">
        <f t="shared" si="51"/>
        <v>0</v>
      </c>
      <c r="AB68" s="101">
        <f t="shared" si="52"/>
        <v>0</v>
      </c>
      <c r="AC68" s="101">
        <f t="shared" si="53"/>
        <v>0</v>
      </c>
      <c r="AD68" s="101">
        <f t="shared" si="54"/>
        <v>0</v>
      </c>
      <c r="AE68" s="101">
        <f t="shared" si="55"/>
        <v>0</v>
      </c>
      <c r="AF68" s="101">
        <f t="shared" si="56"/>
        <v>0</v>
      </c>
      <c r="AG68" s="101">
        <f t="shared" si="57"/>
        <v>0</v>
      </c>
      <c r="AH68" s="101">
        <f t="shared" si="58"/>
        <v>0</v>
      </c>
      <c r="AI68" s="93" t="s">
        <v>360</v>
      </c>
      <c r="AJ68" s="99">
        <f t="shared" si="59"/>
        <v>0</v>
      </c>
      <c r="AK68" s="99">
        <f t="shared" si="60"/>
        <v>0</v>
      </c>
      <c r="AL68" s="99">
        <f t="shared" si="61"/>
        <v>0</v>
      </c>
      <c r="AN68" s="101">
        <v>21</v>
      </c>
      <c r="AO68" s="101">
        <f t="shared" si="62"/>
        <v>0</v>
      </c>
      <c r="AP68" s="101">
        <f t="shared" si="63"/>
        <v>0</v>
      </c>
      <c r="AQ68" s="100" t="s">
        <v>57</v>
      </c>
      <c r="AV68" s="101">
        <f t="shared" si="64"/>
        <v>0</v>
      </c>
      <c r="AW68" s="101">
        <f t="shared" si="65"/>
        <v>0</v>
      </c>
      <c r="AX68" s="101">
        <f t="shared" si="66"/>
        <v>0</v>
      </c>
      <c r="AY68" s="102" t="s">
        <v>367</v>
      </c>
      <c r="AZ68" s="102" t="s">
        <v>376</v>
      </c>
      <c r="BA68" s="93" t="s">
        <v>393</v>
      </c>
      <c r="BC68" s="101">
        <f t="shared" si="67"/>
        <v>0</v>
      </c>
      <c r="BD68" s="101">
        <f t="shared" si="68"/>
        <v>0</v>
      </c>
      <c r="BE68" s="101">
        <v>0</v>
      </c>
      <c r="BF68" s="101">
        <f>68</f>
        <v>68</v>
      </c>
      <c r="BH68" s="99">
        <f t="shared" si="69"/>
        <v>0</v>
      </c>
      <c r="BI68" s="99">
        <f t="shared" si="70"/>
        <v>0</v>
      </c>
      <c r="BJ68" s="99">
        <f t="shared" si="71"/>
        <v>0</v>
      </c>
    </row>
    <row r="69" spans="1:62" ht="12.75">
      <c r="A69" s="13" t="s">
        <v>104</v>
      </c>
      <c r="B69" s="13" t="s">
        <v>191</v>
      </c>
      <c r="C69" s="48" t="s">
        <v>266</v>
      </c>
      <c r="D69" s="49"/>
      <c r="E69" s="49"/>
      <c r="F69" s="13" t="s">
        <v>323</v>
      </c>
      <c r="G69" s="23">
        <v>4</v>
      </c>
      <c r="H69" s="99">
        <v>0</v>
      </c>
      <c r="I69" s="99">
        <f t="shared" si="48"/>
        <v>0</v>
      </c>
      <c r="J69" s="99">
        <f t="shared" si="49"/>
        <v>0</v>
      </c>
      <c r="K69" s="99">
        <f t="shared" si="50"/>
        <v>0</v>
      </c>
      <c r="L69" s="100"/>
      <c r="Z69" s="101">
        <f t="shared" si="51"/>
        <v>0</v>
      </c>
      <c r="AB69" s="101">
        <f t="shared" si="52"/>
        <v>0</v>
      </c>
      <c r="AC69" s="101">
        <f t="shared" si="53"/>
        <v>0</v>
      </c>
      <c r="AD69" s="101">
        <f t="shared" si="54"/>
        <v>0</v>
      </c>
      <c r="AE69" s="101">
        <f t="shared" si="55"/>
        <v>0</v>
      </c>
      <c r="AF69" s="101">
        <f t="shared" si="56"/>
        <v>0</v>
      </c>
      <c r="AG69" s="101">
        <f t="shared" si="57"/>
        <v>0</v>
      </c>
      <c r="AH69" s="101">
        <f t="shared" si="58"/>
        <v>0</v>
      </c>
      <c r="AI69" s="93" t="s">
        <v>360</v>
      </c>
      <c r="AJ69" s="99">
        <f t="shared" si="59"/>
        <v>0</v>
      </c>
      <c r="AK69" s="99">
        <f t="shared" si="60"/>
        <v>0</v>
      </c>
      <c r="AL69" s="99">
        <f t="shared" si="61"/>
        <v>0</v>
      </c>
      <c r="AN69" s="101">
        <v>21</v>
      </c>
      <c r="AO69" s="101">
        <f t="shared" si="62"/>
        <v>0</v>
      </c>
      <c r="AP69" s="101">
        <f t="shared" si="63"/>
        <v>0</v>
      </c>
      <c r="AQ69" s="100" t="s">
        <v>57</v>
      </c>
      <c r="AV69" s="101">
        <f t="shared" si="64"/>
        <v>0</v>
      </c>
      <c r="AW69" s="101">
        <f t="shared" si="65"/>
        <v>0</v>
      </c>
      <c r="AX69" s="101">
        <f t="shared" si="66"/>
        <v>0</v>
      </c>
      <c r="AY69" s="102" t="s">
        <v>367</v>
      </c>
      <c r="AZ69" s="102" t="s">
        <v>376</v>
      </c>
      <c r="BA69" s="93" t="s">
        <v>393</v>
      </c>
      <c r="BC69" s="101">
        <f t="shared" si="67"/>
        <v>0</v>
      </c>
      <c r="BD69" s="101">
        <f t="shared" si="68"/>
        <v>0</v>
      </c>
      <c r="BE69" s="101">
        <v>0</v>
      </c>
      <c r="BF69" s="101">
        <f>69</f>
        <v>69</v>
      </c>
      <c r="BH69" s="99">
        <f t="shared" si="69"/>
        <v>0</v>
      </c>
      <c r="BI69" s="99">
        <f t="shared" si="70"/>
        <v>0</v>
      </c>
      <c r="BJ69" s="99">
        <f t="shared" si="71"/>
        <v>0</v>
      </c>
    </row>
    <row r="70" spans="1:62" ht="12.75">
      <c r="A70" s="13" t="s">
        <v>105</v>
      </c>
      <c r="B70" s="13" t="s">
        <v>192</v>
      </c>
      <c r="C70" s="48" t="s">
        <v>267</v>
      </c>
      <c r="D70" s="49"/>
      <c r="E70" s="49"/>
      <c r="F70" s="13" t="s">
        <v>323</v>
      </c>
      <c r="G70" s="23">
        <v>36</v>
      </c>
      <c r="H70" s="99">
        <v>0</v>
      </c>
      <c r="I70" s="99">
        <f t="shared" si="48"/>
        <v>0</v>
      </c>
      <c r="J70" s="99">
        <f t="shared" si="49"/>
        <v>0</v>
      </c>
      <c r="K70" s="99">
        <f t="shared" si="50"/>
        <v>0</v>
      </c>
      <c r="L70" s="100"/>
      <c r="Z70" s="101">
        <f t="shared" si="51"/>
        <v>0</v>
      </c>
      <c r="AB70" s="101">
        <f t="shared" si="52"/>
        <v>0</v>
      </c>
      <c r="AC70" s="101">
        <f t="shared" si="53"/>
        <v>0</v>
      </c>
      <c r="AD70" s="101">
        <f t="shared" si="54"/>
        <v>0</v>
      </c>
      <c r="AE70" s="101">
        <f t="shared" si="55"/>
        <v>0</v>
      </c>
      <c r="AF70" s="101">
        <f t="shared" si="56"/>
        <v>0</v>
      </c>
      <c r="AG70" s="101">
        <f t="shared" si="57"/>
        <v>0</v>
      </c>
      <c r="AH70" s="101">
        <f t="shared" si="58"/>
        <v>0</v>
      </c>
      <c r="AI70" s="93" t="s">
        <v>360</v>
      </c>
      <c r="AJ70" s="99">
        <f t="shared" si="59"/>
        <v>0</v>
      </c>
      <c r="AK70" s="99">
        <f t="shared" si="60"/>
        <v>0</v>
      </c>
      <c r="AL70" s="99">
        <f t="shared" si="61"/>
        <v>0</v>
      </c>
      <c r="AN70" s="101">
        <v>21</v>
      </c>
      <c r="AO70" s="101">
        <f t="shared" si="62"/>
        <v>0</v>
      </c>
      <c r="AP70" s="101">
        <f t="shared" si="63"/>
        <v>0</v>
      </c>
      <c r="AQ70" s="100" t="s">
        <v>57</v>
      </c>
      <c r="AV70" s="101">
        <f t="shared" si="64"/>
        <v>0</v>
      </c>
      <c r="AW70" s="101">
        <f t="shared" si="65"/>
        <v>0</v>
      </c>
      <c r="AX70" s="101">
        <f t="shared" si="66"/>
        <v>0</v>
      </c>
      <c r="AY70" s="102" t="s">
        <v>367</v>
      </c>
      <c r="AZ70" s="102" t="s">
        <v>376</v>
      </c>
      <c r="BA70" s="93" t="s">
        <v>393</v>
      </c>
      <c r="BC70" s="101">
        <f t="shared" si="67"/>
        <v>0</v>
      </c>
      <c r="BD70" s="101">
        <f t="shared" si="68"/>
        <v>0</v>
      </c>
      <c r="BE70" s="101">
        <v>0</v>
      </c>
      <c r="BF70" s="101">
        <f>70</f>
        <v>70</v>
      </c>
      <c r="BH70" s="99">
        <f t="shared" si="69"/>
        <v>0</v>
      </c>
      <c r="BI70" s="99">
        <f t="shared" si="70"/>
        <v>0</v>
      </c>
      <c r="BJ70" s="99">
        <f t="shared" si="71"/>
        <v>0</v>
      </c>
    </row>
    <row r="71" spans="1:62" ht="12.75">
      <c r="A71" s="13" t="s">
        <v>106</v>
      </c>
      <c r="B71" s="13" t="s">
        <v>193</v>
      </c>
      <c r="C71" s="48" t="s">
        <v>268</v>
      </c>
      <c r="D71" s="49"/>
      <c r="E71" s="49"/>
      <c r="F71" s="13" t="s">
        <v>323</v>
      </c>
      <c r="G71" s="23">
        <v>69</v>
      </c>
      <c r="H71" s="99">
        <v>0</v>
      </c>
      <c r="I71" s="99">
        <f t="shared" si="48"/>
        <v>0</v>
      </c>
      <c r="J71" s="99">
        <f t="shared" si="49"/>
        <v>0</v>
      </c>
      <c r="K71" s="99">
        <f t="shared" si="50"/>
        <v>0</v>
      </c>
      <c r="L71" s="100"/>
      <c r="Z71" s="101">
        <f t="shared" si="51"/>
        <v>0</v>
      </c>
      <c r="AB71" s="101">
        <f t="shared" si="52"/>
        <v>0</v>
      </c>
      <c r="AC71" s="101">
        <f t="shared" si="53"/>
        <v>0</v>
      </c>
      <c r="AD71" s="101">
        <f t="shared" si="54"/>
        <v>0</v>
      </c>
      <c r="AE71" s="101">
        <f t="shared" si="55"/>
        <v>0</v>
      </c>
      <c r="AF71" s="101">
        <f t="shared" si="56"/>
        <v>0</v>
      </c>
      <c r="AG71" s="101">
        <f t="shared" si="57"/>
        <v>0</v>
      </c>
      <c r="AH71" s="101">
        <f t="shared" si="58"/>
        <v>0</v>
      </c>
      <c r="AI71" s="93" t="s">
        <v>360</v>
      </c>
      <c r="AJ71" s="99">
        <f t="shared" si="59"/>
        <v>0</v>
      </c>
      <c r="AK71" s="99">
        <f t="shared" si="60"/>
        <v>0</v>
      </c>
      <c r="AL71" s="99">
        <f t="shared" si="61"/>
        <v>0</v>
      </c>
      <c r="AN71" s="101">
        <v>21</v>
      </c>
      <c r="AO71" s="101">
        <f t="shared" si="62"/>
        <v>0</v>
      </c>
      <c r="AP71" s="101">
        <f t="shared" si="63"/>
        <v>0</v>
      </c>
      <c r="AQ71" s="100" t="s">
        <v>57</v>
      </c>
      <c r="AV71" s="101">
        <f t="shared" si="64"/>
        <v>0</v>
      </c>
      <c r="AW71" s="101">
        <f t="shared" si="65"/>
        <v>0</v>
      </c>
      <c r="AX71" s="101">
        <f t="shared" si="66"/>
        <v>0</v>
      </c>
      <c r="AY71" s="102" t="s">
        <v>367</v>
      </c>
      <c r="AZ71" s="102" t="s">
        <v>376</v>
      </c>
      <c r="BA71" s="93" t="s">
        <v>393</v>
      </c>
      <c r="BC71" s="101">
        <f t="shared" si="67"/>
        <v>0</v>
      </c>
      <c r="BD71" s="101">
        <f t="shared" si="68"/>
        <v>0</v>
      </c>
      <c r="BE71" s="101">
        <v>0</v>
      </c>
      <c r="BF71" s="101">
        <f>71</f>
        <v>71</v>
      </c>
      <c r="BH71" s="99">
        <f t="shared" si="69"/>
        <v>0</v>
      </c>
      <c r="BI71" s="99">
        <f t="shared" si="70"/>
        <v>0</v>
      </c>
      <c r="BJ71" s="99">
        <f t="shared" si="71"/>
        <v>0</v>
      </c>
    </row>
    <row r="72" spans="1:62" ht="12.75">
      <c r="A72" s="13" t="s">
        <v>107</v>
      </c>
      <c r="B72" s="13" t="s">
        <v>194</v>
      </c>
      <c r="C72" s="48" t="s">
        <v>269</v>
      </c>
      <c r="D72" s="49"/>
      <c r="E72" s="49"/>
      <c r="F72" s="13" t="s">
        <v>323</v>
      </c>
      <c r="G72" s="23">
        <v>76</v>
      </c>
      <c r="H72" s="99">
        <v>0</v>
      </c>
      <c r="I72" s="99">
        <f t="shared" si="48"/>
        <v>0</v>
      </c>
      <c r="J72" s="99">
        <f t="shared" si="49"/>
        <v>0</v>
      </c>
      <c r="K72" s="99">
        <f t="shared" si="50"/>
        <v>0</v>
      </c>
      <c r="L72" s="100"/>
      <c r="Z72" s="101">
        <f t="shared" si="51"/>
        <v>0</v>
      </c>
      <c r="AB72" s="101">
        <f t="shared" si="52"/>
        <v>0</v>
      </c>
      <c r="AC72" s="101">
        <f t="shared" si="53"/>
        <v>0</v>
      </c>
      <c r="AD72" s="101">
        <f t="shared" si="54"/>
        <v>0</v>
      </c>
      <c r="AE72" s="101">
        <f t="shared" si="55"/>
        <v>0</v>
      </c>
      <c r="AF72" s="101">
        <f t="shared" si="56"/>
        <v>0</v>
      </c>
      <c r="AG72" s="101">
        <f t="shared" si="57"/>
        <v>0</v>
      </c>
      <c r="AH72" s="101">
        <f t="shared" si="58"/>
        <v>0</v>
      </c>
      <c r="AI72" s="93" t="s">
        <v>360</v>
      </c>
      <c r="AJ72" s="99">
        <f t="shared" si="59"/>
        <v>0</v>
      </c>
      <c r="AK72" s="99">
        <f t="shared" si="60"/>
        <v>0</v>
      </c>
      <c r="AL72" s="99">
        <f t="shared" si="61"/>
        <v>0</v>
      </c>
      <c r="AN72" s="101">
        <v>21</v>
      </c>
      <c r="AO72" s="101">
        <f t="shared" si="62"/>
        <v>0</v>
      </c>
      <c r="AP72" s="101">
        <f t="shared" si="63"/>
        <v>0</v>
      </c>
      <c r="AQ72" s="100" t="s">
        <v>57</v>
      </c>
      <c r="AV72" s="101">
        <f t="shared" si="64"/>
        <v>0</v>
      </c>
      <c r="AW72" s="101">
        <f t="shared" si="65"/>
        <v>0</v>
      </c>
      <c r="AX72" s="101">
        <f t="shared" si="66"/>
        <v>0</v>
      </c>
      <c r="AY72" s="102" t="s">
        <v>367</v>
      </c>
      <c r="AZ72" s="102" t="s">
        <v>376</v>
      </c>
      <c r="BA72" s="93" t="s">
        <v>393</v>
      </c>
      <c r="BC72" s="101">
        <f t="shared" si="67"/>
        <v>0</v>
      </c>
      <c r="BD72" s="101">
        <f t="shared" si="68"/>
        <v>0</v>
      </c>
      <c r="BE72" s="101">
        <v>0</v>
      </c>
      <c r="BF72" s="101">
        <f>72</f>
        <v>72</v>
      </c>
      <c r="BH72" s="99">
        <f t="shared" si="69"/>
        <v>0</v>
      </c>
      <c r="BI72" s="99">
        <f t="shared" si="70"/>
        <v>0</v>
      </c>
      <c r="BJ72" s="99">
        <f t="shared" si="71"/>
        <v>0</v>
      </c>
    </row>
    <row r="73" spans="1:62" ht="12.75">
      <c r="A73" s="13" t="s">
        <v>108</v>
      </c>
      <c r="B73" s="13" t="s">
        <v>195</v>
      </c>
      <c r="C73" s="48" t="s">
        <v>270</v>
      </c>
      <c r="D73" s="49"/>
      <c r="E73" s="49"/>
      <c r="F73" s="13" t="s">
        <v>323</v>
      </c>
      <c r="G73" s="23">
        <v>39</v>
      </c>
      <c r="H73" s="99">
        <v>0</v>
      </c>
      <c r="I73" s="99">
        <f t="shared" si="48"/>
        <v>0</v>
      </c>
      <c r="J73" s="99">
        <f t="shared" si="49"/>
        <v>0</v>
      </c>
      <c r="K73" s="99">
        <f t="shared" si="50"/>
        <v>0</v>
      </c>
      <c r="L73" s="100"/>
      <c r="Z73" s="101">
        <f t="shared" si="51"/>
        <v>0</v>
      </c>
      <c r="AB73" s="101">
        <f t="shared" si="52"/>
        <v>0</v>
      </c>
      <c r="AC73" s="101">
        <f t="shared" si="53"/>
        <v>0</v>
      </c>
      <c r="AD73" s="101">
        <f t="shared" si="54"/>
        <v>0</v>
      </c>
      <c r="AE73" s="101">
        <f t="shared" si="55"/>
        <v>0</v>
      </c>
      <c r="AF73" s="101">
        <f t="shared" si="56"/>
        <v>0</v>
      </c>
      <c r="AG73" s="101">
        <f t="shared" si="57"/>
        <v>0</v>
      </c>
      <c r="AH73" s="101">
        <f t="shared" si="58"/>
        <v>0</v>
      </c>
      <c r="AI73" s="93" t="s">
        <v>360</v>
      </c>
      <c r="AJ73" s="99">
        <f t="shared" si="59"/>
        <v>0</v>
      </c>
      <c r="AK73" s="99">
        <f t="shared" si="60"/>
        <v>0</v>
      </c>
      <c r="AL73" s="99">
        <f t="shared" si="61"/>
        <v>0</v>
      </c>
      <c r="AN73" s="101">
        <v>21</v>
      </c>
      <c r="AO73" s="101">
        <f t="shared" si="62"/>
        <v>0</v>
      </c>
      <c r="AP73" s="101">
        <f t="shared" si="63"/>
        <v>0</v>
      </c>
      <c r="AQ73" s="100" t="s">
        <v>57</v>
      </c>
      <c r="AV73" s="101">
        <f t="shared" si="64"/>
        <v>0</v>
      </c>
      <c r="AW73" s="101">
        <f t="shared" si="65"/>
        <v>0</v>
      </c>
      <c r="AX73" s="101">
        <f t="shared" si="66"/>
        <v>0</v>
      </c>
      <c r="AY73" s="102" t="s">
        <v>367</v>
      </c>
      <c r="AZ73" s="102" t="s">
        <v>376</v>
      </c>
      <c r="BA73" s="93" t="s">
        <v>393</v>
      </c>
      <c r="BC73" s="101">
        <f t="shared" si="67"/>
        <v>0</v>
      </c>
      <c r="BD73" s="101">
        <f t="shared" si="68"/>
        <v>0</v>
      </c>
      <c r="BE73" s="101">
        <v>0</v>
      </c>
      <c r="BF73" s="101">
        <f>73</f>
        <v>73</v>
      </c>
      <c r="BH73" s="99">
        <f t="shared" si="69"/>
        <v>0</v>
      </c>
      <c r="BI73" s="99">
        <f t="shared" si="70"/>
        <v>0</v>
      </c>
      <c r="BJ73" s="99">
        <f t="shared" si="71"/>
        <v>0</v>
      </c>
    </row>
    <row r="74" spans="1:62" ht="12.75">
      <c r="A74" s="13" t="s">
        <v>109</v>
      </c>
      <c r="B74" s="13" t="s">
        <v>196</v>
      </c>
      <c r="C74" s="48" t="s">
        <v>271</v>
      </c>
      <c r="D74" s="49"/>
      <c r="E74" s="49"/>
      <c r="F74" s="13" t="s">
        <v>323</v>
      </c>
      <c r="G74" s="23">
        <v>16</v>
      </c>
      <c r="H74" s="99">
        <v>0</v>
      </c>
      <c r="I74" s="99">
        <f t="shared" si="48"/>
        <v>0</v>
      </c>
      <c r="J74" s="99">
        <f t="shared" si="49"/>
        <v>0</v>
      </c>
      <c r="K74" s="99">
        <f t="shared" si="50"/>
        <v>0</v>
      </c>
      <c r="L74" s="100"/>
      <c r="Z74" s="101">
        <f t="shared" si="51"/>
        <v>0</v>
      </c>
      <c r="AB74" s="101">
        <f t="shared" si="52"/>
        <v>0</v>
      </c>
      <c r="AC74" s="101">
        <f t="shared" si="53"/>
        <v>0</v>
      </c>
      <c r="AD74" s="101">
        <f t="shared" si="54"/>
        <v>0</v>
      </c>
      <c r="AE74" s="101">
        <f t="shared" si="55"/>
        <v>0</v>
      </c>
      <c r="AF74" s="101">
        <f t="shared" si="56"/>
        <v>0</v>
      </c>
      <c r="AG74" s="101">
        <f t="shared" si="57"/>
        <v>0</v>
      </c>
      <c r="AH74" s="101">
        <f t="shared" si="58"/>
        <v>0</v>
      </c>
      <c r="AI74" s="93" t="s">
        <v>360</v>
      </c>
      <c r="AJ74" s="99">
        <f t="shared" si="59"/>
        <v>0</v>
      </c>
      <c r="AK74" s="99">
        <f t="shared" si="60"/>
        <v>0</v>
      </c>
      <c r="AL74" s="99">
        <f t="shared" si="61"/>
        <v>0</v>
      </c>
      <c r="AN74" s="101">
        <v>21</v>
      </c>
      <c r="AO74" s="101">
        <f t="shared" si="62"/>
        <v>0</v>
      </c>
      <c r="AP74" s="101">
        <f t="shared" si="63"/>
        <v>0</v>
      </c>
      <c r="AQ74" s="100" t="s">
        <v>57</v>
      </c>
      <c r="AV74" s="101">
        <f t="shared" si="64"/>
        <v>0</v>
      </c>
      <c r="AW74" s="101">
        <f t="shared" si="65"/>
        <v>0</v>
      </c>
      <c r="AX74" s="101">
        <f t="shared" si="66"/>
        <v>0</v>
      </c>
      <c r="AY74" s="102" t="s">
        <v>367</v>
      </c>
      <c r="AZ74" s="102" t="s">
        <v>376</v>
      </c>
      <c r="BA74" s="93" t="s">
        <v>393</v>
      </c>
      <c r="BC74" s="101">
        <f t="shared" si="67"/>
        <v>0</v>
      </c>
      <c r="BD74" s="101">
        <f t="shared" si="68"/>
        <v>0</v>
      </c>
      <c r="BE74" s="101">
        <v>0</v>
      </c>
      <c r="BF74" s="101">
        <f>74</f>
        <v>74</v>
      </c>
      <c r="BH74" s="99">
        <f t="shared" si="69"/>
        <v>0</v>
      </c>
      <c r="BI74" s="99">
        <f t="shared" si="70"/>
        <v>0</v>
      </c>
      <c r="BJ74" s="99">
        <f t="shared" si="71"/>
        <v>0</v>
      </c>
    </row>
    <row r="75" spans="1:62" ht="12.75">
      <c r="A75" s="13" t="s">
        <v>110</v>
      </c>
      <c r="B75" s="13" t="s">
        <v>196</v>
      </c>
      <c r="C75" s="48" t="s">
        <v>272</v>
      </c>
      <c r="D75" s="49"/>
      <c r="E75" s="49"/>
      <c r="F75" s="13" t="s">
        <v>323</v>
      </c>
      <c r="G75" s="23">
        <v>4</v>
      </c>
      <c r="H75" s="99">
        <v>0</v>
      </c>
      <c r="I75" s="99">
        <f t="shared" si="48"/>
        <v>0</v>
      </c>
      <c r="J75" s="99">
        <f t="shared" si="49"/>
        <v>0</v>
      </c>
      <c r="K75" s="99">
        <f t="shared" si="50"/>
        <v>0</v>
      </c>
      <c r="L75" s="100"/>
      <c r="Z75" s="101">
        <f t="shared" si="51"/>
        <v>0</v>
      </c>
      <c r="AB75" s="101">
        <f t="shared" si="52"/>
        <v>0</v>
      </c>
      <c r="AC75" s="101">
        <f t="shared" si="53"/>
        <v>0</v>
      </c>
      <c r="AD75" s="101">
        <f t="shared" si="54"/>
        <v>0</v>
      </c>
      <c r="AE75" s="101">
        <f t="shared" si="55"/>
        <v>0</v>
      </c>
      <c r="AF75" s="101">
        <f t="shared" si="56"/>
        <v>0</v>
      </c>
      <c r="AG75" s="101">
        <f t="shared" si="57"/>
        <v>0</v>
      </c>
      <c r="AH75" s="101">
        <f t="shared" si="58"/>
        <v>0</v>
      </c>
      <c r="AI75" s="93" t="s">
        <v>360</v>
      </c>
      <c r="AJ75" s="99">
        <f t="shared" si="59"/>
        <v>0</v>
      </c>
      <c r="AK75" s="99">
        <f t="shared" si="60"/>
        <v>0</v>
      </c>
      <c r="AL75" s="99">
        <f t="shared" si="61"/>
        <v>0</v>
      </c>
      <c r="AN75" s="101">
        <v>21</v>
      </c>
      <c r="AO75" s="101">
        <f t="shared" si="62"/>
        <v>0</v>
      </c>
      <c r="AP75" s="101">
        <f t="shared" si="63"/>
        <v>0</v>
      </c>
      <c r="AQ75" s="100" t="s">
        <v>57</v>
      </c>
      <c r="AV75" s="101">
        <f t="shared" si="64"/>
        <v>0</v>
      </c>
      <c r="AW75" s="101">
        <f t="shared" si="65"/>
        <v>0</v>
      </c>
      <c r="AX75" s="101">
        <f t="shared" si="66"/>
        <v>0</v>
      </c>
      <c r="AY75" s="102" t="s">
        <v>367</v>
      </c>
      <c r="AZ75" s="102" t="s">
        <v>376</v>
      </c>
      <c r="BA75" s="93" t="s">
        <v>393</v>
      </c>
      <c r="BC75" s="101">
        <f t="shared" si="67"/>
        <v>0</v>
      </c>
      <c r="BD75" s="101">
        <f t="shared" si="68"/>
        <v>0</v>
      </c>
      <c r="BE75" s="101">
        <v>0</v>
      </c>
      <c r="BF75" s="101">
        <f>75</f>
        <v>75</v>
      </c>
      <c r="BH75" s="99">
        <f t="shared" si="69"/>
        <v>0</v>
      </c>
      <c r="BI75" s="99">
        <f t="shared" si="70"/>
        <v>0</v>
      </c>
      <c r="BJ75" s="99">
        <f t="shared" si="71"/>
        <v>0</v>
      </c>
    </row>
    <row r="76" spans="1:62" ht="12.75">
      <c r="A76" s="13" t="s">
        <v>111</v>
      </c>
      <c r="B76" s="13" t="s">
        <v>178</v>
      </c>
      <c r="C76" s="48" t="s">
        <v>254</v>
      </c>
      <c r="D76" s="49"/>
      <c r="E76" s="49"/>
      <c r="F76" s="13" t="s">
        <v>324</v>
      </c>
      <c r="G76" s="23">
        <v>8</v>
      </c>
      <c r="H76" s="99">
        <v>0</v>
      </c>
      <c r="I76" s="99">
        <f t="shared" si="48"/>
        <v>0</v>
      </c>
      <c r="J76" s="99">
        <f t="shared" si="49"/>
        <v>0</v>
      </c>
      <c r="K76" s="99">
        <f t="shared" si="50"/>
        <v>0</v>
      </c>
      <c r="L76" s="100" t="s">
        <v>345</v>
      </c>
      <c r="Z76" s="101">
        <f t="shared" si="51"/>
        <v>0</v>
      </c>
      <c r="AB76" s="101">
        <f t="shared" si="52"/>
        <v>0</v>
      </c>
      <c r="AC76" s="101">
        <f t="shared" si="53"/>
        <v>0</v>
      </c>
      <c r="AD76" s="101">
        <f t="shared" si="54"/>
        <v>0</v>
      </c>
      <c r="AE76" s="101">
        <f t="shared" si="55"/>
        <v>0</v>
      </c>
      <c r="AF76" s="101">
        <f t="shared" si="56"/>
        <v>0</v>
      </c>
      <c r="AG76" s="101">
        <f t="shared" si="57"/>
        <v>0</v>
      </c>
      <c r="AH76" s="101">
        <f t="shared" si="58"/>
        <v>0</v>
      </c>
      <c r="AI76" s="93" t="s">
        <v>360</v>
      </c>
      <c r="AJ76" s="99">
        <f t="shared" si="59"/>
        <v>0</v>
      </c>
      <c r="AK76" s="99">
        <f t="shared" si="60"/>
        <v>0</v>
      </c>
      <c r="AL76" s="99">
        <f t="shared" si="61"/>
        <v>0</v>
      </c>
      <c r="AN76" s="101">
        <v>21</v>
      </c>
      <c r="AO76" s="101">
        <f t="shared" si="62"/>
        <v>0</v>
      </c>
      <c r="AP76" s="101">
        <f t="shared" si="63"/>
        <v>0</v>
      </c>
      <c r="AQ76" s="100" t="s">
        <v>57</v>
      </c>
      <c r="AV76" s="101">
        <f t="shared" si="64"/>
        <v>0</v>
      </c>
      <c r="AW76" s="101">
        <f t="shared" si="65"/>
        <v>0</v>
      </c>
      <c r="AX76" s="101">
        <f t="shared" si="66"/>
        <v>0</v>
      </c>
      <c r="AY76" s="102" t="s">
        <v>367</v>
      </c>
      <c r="AZ76" s="102" t="s">
        <v>376</v>
      </c>
      <c r="BA76" s="93" t="s">
        <v>393</v>
      </c>
      <c r="BC76" s="101">
        <f t="shared" si="67"/>
        <v>0</v>
      </c>
      <c r="BD76" s="101">
        <f t="shared" si="68"/>
        <v>0</v>
      </c>
      <c r="BE76" s="101">
        <v>0</v>
      </c>
      <c r="BF76" s="101">
        <f>76</f>
        <v>76</v>
      </c>
      <c r="BH76" s="99">
        <f t="shared" si="69"/>
        <v>0</v>
      </c>
      <c r="BI76" s="99">
        <f t="shared" si="70"/>
        <v>0</v>
      </c>
      <c r="BJ76" s="99">
        <f t="shared" si="71"/>
        <v>0</v>
      </c>
    </row>
    <row r="77" spans="1:12" ht="12.75">
      <c r="A77" s="14"/>
      <c r="B77" s="21"/>
      <c r="C77" s="50" t="s">
        <v>273</v>
      </c>
      <c r="D77" s="51"/>
      <c r="E77" s="51"/>
      <c r="F77" s="14" t="s">
        <v>56</v>
      </c>
      <c r="G77" s="14" t="s">
        <v>56</v>
      </c>
      <c r="H77" s="103" t="s">
        <v>56</v>
      </c>
      <c r="I77" s="104">
        <f>I78+I80+I87+I89</f>
        <v>0</v>
      </c>
      <c r="J77" s="104">
        <f>J78+J80+J87+J89</f>
        <v>0</v>
      </c>
      <c r="K77" s="104">
        <f>K78+K80+K87+K89</f>
        <v>0</v>
      </c>
      <c r="L77" s="105"/>
    </row>
    <row r="78" spans="1:47" ht="12.75">
      <c r="A78" s="12"/>
      <c r="B78" s="20" t="s">
        <v>197</v>
      </c>
      <c r="C78" s="46" t="s">
        <v>274</v>
      </c>
      <c r="D78" s="47"/>
      <c r="E78" s="47"/>
      <c r="F78" s="12" t="s">
        <v>56</v>
      </c>
      <c r="G78" s="12" t="s">
        <v>56</v>
      </c>
      <c r="H78" s="97" t="s">
        <v>56</v>
      </c>
      <c r="I78" s="98">
        <f>SUM(I79:I79)</f>
        <v>0</v>
      </c>
      <c r="J78" s="98">
        <f>SUM(J79:J79)</f>
        <v>0</v>
      </c>
      <c r="K78" s="98">
        <f>SUM(K79:K79)</f>
        <v>0</v>
      </c>
      <c r="L78" s="93"/>
      <c r="AI78" s="93" t="s">
        <v>361</v>
      </c>
      <c r="AS78" s="98">
        <f>SUM(AJ79:AJ79)</f>
        <v>0</v>
      </c>
      <c r="AT78" s="98">
        <f>SUM(AK79:AK79)</f>
        <v>0</v>
      </c>
      <c r="AU78" s="98">
        <f>SUM(AL79:AL79)</f>
        <v>0</v>
      </c>
    </row>
    <row r="79" spans="1:62" ht="12.75">
      <c r="A79" s="13" t="s">
        <v>112</v>
      </c>
      <c r="B79" s="13" t="s">
        <v>198</v>
      </c>
      <c r="C79" s="48" t="s">
        <v>275</v>
      </c>
      <c r="D79" s="49"/>
      <c r="E79" s="49"/>
      <c r="F79" s="13" t="s">
        <v>326</v>
      </c>
      <c r="G79" s="23">
        <v>225</v>
      </c>
      <c r="H79" s="99">
        <v>0</v>
      </c>
      <c r="I79" s="99">
        <f>G79*AO79</f>
        <v>0</v>
      </c>
      <c r="J79" s="99">
        <f>G79*AP79</f>
        <v>0</v>
      </c>
      <c r="K79" s="99">
        <f>G79*H79</f>
        <v>0</v>
      </c>
      <c r="L79" s="100"/>
      <c r="Z79" s="101">
        <f>IF(AQ79="5",BJ79,0)</f>
        <v>0</v>
      </c>
      <c r="AB79" s="101">
        <f>IF(AQ79="1",BH79,0)</f>
        <v>0</v>
      </c>
      <c r="AC79" s="101">
        <f>IF(AQ79="1",BI79,0)</f>
        <v>0</v>
      </c>
      <c r="AD79" s="101">
        <f>IF(AQ79="7",BH79,0)</f>
        <v>0</v>
      </c>
      <c r="AE79" s="101">
        <f>IF(AQ79="7",BI79,0)</f>
        <v>0</v>
      </c>
      <c r="AF79" s="101">
        <f>IF(AQ79="2",BH79,0)</f>
        <v>0</v>
      </c>
      <c r="AG79" s="101">
        <f>IF(AQ79="2",BI79,0)</f>
        <v>0</v>
      </c>
      <c r="AH79" s="101">
        <f>IF(AQ79="0",BJ79,0)</f>
        <v>0</v>
      </c>
      <c r="AI79" s="93" t="s">
        <v>361</v>
      </c>
      <c r="AJ79" s="99">
        <f>IF(AN79=0,K79,0)</f>
        <v>0</v>
      </c>
      <c r="AK79" s="99">
        <f>IF(AN79=15,K79,0)</f>
        <v>0</v>
      </c>
      <c r="AL79" s="99">
        <f>IF(AN79=21,K79,0)</f>
        <v>0</v>
      </c>
      <c r="AN79" s="101">
        <v>21</v>
      </c>
      <c r="AO79" s="101">
        <f>H79*0</f>
        <v>0</v>
      </c>
      <c r="AP79" s="101">
        <f>H79*(1-0)</f>
        <v>0</v>
      </c>
      <c r="AQ79" s="100" t="s">
        <v>57</v>
      </c>
      <c r="AV79" s="101">
        <f>AW79+AX79</f>
        <v>0</v>
      </c>
      <c r="AW79" s="101">
        <f>G79*AO79</f>
        <v>0</v>
      </c>
      <c r="AX79" s="101">
        <f>G79*AP79</f>
        <v>0</v>
      </c>
      <c r="AY79" s="102" t="s">
        <v>368</v>
      </c>
      <c r="AZ79" s="102" t="s">
        <v>377</v>
      </c>
      <c r="BA79" s="93" t="s">
        <v>394</v>
      </c>
      <c r="BC79" s="101">
        <f>AW79+AX79</f>
        <v>0</v>
      </c>
      <c r="BD79" s="101">
        <f>H79/(100-BE79)*100</f>
        <v>0</v>
      </c>
      <c r="BE79" s="101">
        <v>0</v>
      </c>
      <c r="BF79" s="101">
        <f>79</f>
        <v>79</v>
      </c>
      <c r="BH79" s="99">
        <f>G79*AO79</f>
        <v>0</v>
      </c>
      <c r="BI79" s="99">
        <f>G79*AP79</f>
        <v>0</v>
      </c>
      <c r="BJ79" s="99">
        <f>G79*H79</f>
        <v>0</v>
      </c>
    </row>
    <row r="80" spans="1:47" ht="12.75">
      <c r="A80" s="12"/>
      <c r="B80" s="20" t="s">
        <v>74</v>
      </c>
      <c r="C80" s="46" t="s">
        <v>276</v>
      </c>
      <c r="D80" s="47"/>
      <c r="E80" s="47"/>
      <c r="F80" s="12" t="s">
        <v>56</v>
      </c>
      <c r="G80" s="12" t="s">
        <v>56</v>
      </c>
      <c r="H80" s="97" t="s">
        <v>56</v>
      </c>
      <c r="I80" s="98">
        <f>SUM(I81:I86)</f>
        <v>0</v>
      </c>
      <c r="J80" s="98">
        <f>SUM(J81:J86)</f>
        <v>0</v>
      </c>
      <c r="K80" s="98">
        <f>SUM(K81:K86)</f>
        <v>0</v>
      </c>
      <c r="L80" s="93"/>
      <c r="AI80" s="93" t="s">
        <v>361</v>
      </c>
      <c r="AS80" s="98">
        <f>SUM(AJ81:AJ86)</f>
        <v>0</v>
      </c>
      <c r="AT80" s="98">
        <f>SUM(AK81:AK86)</f>
        <v>0</v>
      </c>
      <c r="AU80" s="98">
        <f>SUM(AL81:AL86)</f>
        <v>0</v>
      </c>
    </row>
    <row r="81" spans="1:62" ht="12.75">
      <c r="A81" s="13" t="s">
        <v>113</v>
      </c>
      <c r="B81" s="13" t="s">
        <v>199</v>
      </c>
      <c r="C81" s="48" t="s">
        <v>277</v>
      </c>
      <c r="D81" s="49"/>
      <c r="E81" s="49"/>
      <c r="F81" s="13" t="s">
        <v>323</v>
      </c>
      <c r="G81" s="23">
        <v>225</v>
      </c>
      <c r="H81" s="99">
        <v>0</v>
      </c>
      <c r="I81" s="99">
        <f aca="true" t="shared" si="72" ref="I81:I86">G81*AO81</f>
        <v>0</v>
      </c>
      <c r="J81" s="99">
        <f aca="true" t="shared" si="73" ref="J81:J86">G81*AP81</f>
        <v>0</v>
      </c>
      <c r="K81" s="99">
        <f aca="true" t="shared" si="74" ref="K81:K86">G81*H81</f>
        <v>0</v>
      </c>
      <c r="L81" s="100" t="s">
        <v>346</v>
      </c>
      <c r="Z81" s="101">
        <f aca="true" t="shared" si="75" ref="Z81:Z86">IF(AQ81="5",BJ81,0)</f>
        <v>0</v>
      </c>
      <c r="AB81" s="101">
        <f aca="true" t="shared" si="76" ref="AB81:AB86">IF(AQ81="1",BH81,0)</f>
        <v>0</v>
      </c>
      <c r="AC81" s="101">
        <f aca="true" t="shared" si="77" ref="AC81:AC86">IF(AQ81="1",BI81,0)</f>
        <v>0</v>
      </c>
      <c r="AD81" s="101">
        <f aca="true" t="shared" si="78" ref="AD81:AD86">IF(AQ81="7",BH81,0)</f>
        <v>0</v>
      </c>
      <c r="AE81" s="101">
        <f aca="true" t="shared" si="79" ref="AE81:AE86">IF(AQ81="7",BI81,0)</f>
        <v>0</v>
      </c>
      <c r="AF81" s="101">
        <f aca="true" t="shared" si="80" ref="AF81:AF86">IF(AQ81="2",BH81,0)</f>
        <v>0</v>
      </c>
      <c r="AG81" s="101">
        <f aca="true" t="shared" si="81" ref="AG81:AG86">IF(AQ81="2",BI81,0)</f>
        <v>0</v>
      </c>
      <c r="AH81" s="101">
        <f aca="true" t="shared" si="82" ref="AH81:AH86">IF(AQ81="0",BJ81,0)</f>
        <v>0</v>
      </c>
      <c r="AI81" s="93" t="s">
        <v>361</v>
      </c>
      <c r="AJ81" s="99">
        <f aca="true" t="shared" si="83" ref="AJ81:AJ86">IF(AN81=0,K81,0)</f>
        <v>0</v>
      </c>
      <c r="AK81" s="99">
        <f aca="true" t="shared" si="84" ref="AK81:AK86">IF(AN81=15,K81,0)</f>
        <v>0</v>
      </c>
      <c r="AL81" s="99">
        <f aca="true" t="shared" si="85" ref="AL81:AL86">IF(AN81=21,K81,0)</f>
        <v>0</v>
      </c>
      <c r="AN81" s="101">
        <v>21</v>
      </c>
      <c r="AO81" s="101">
        <f>H81*0</f>
        <v>0</v>
      </c>
      <c r="AP81" s="101">
        <f>H81*(1-0)</f>
        <v>0</v>
      </c>
      <c r="AQ81" s="100" t="s">
        <v>57</v>
      </c>
      <c r="AV81" s="101">
        <f aca="true" t="shared" si="86" ref="AV81:AV86">AW81+AX81</f>
        <v>0</v>
      </c>
      <c r="AW81" s="101">
        <f aca="true" t="shared" si="87" ref="AW81:AW86">G81*AO81</f>
        <v>0</v>
      </c>
      <c r="AX81" s="101">
        <f aca="true" t="shared" si="88" ref="AX81:AX86">G81*AP81</f>
        <v>0</v>
      </c>
      <c r="AY81" s="102" t="s">
        <v>369</v>
      </c>
      <c r="AZ81" s="102" t="s">
        <v>377</v>
      </c>
      <c r="BA81" s="93" t="s">
        <v>394</v>
      </c>
      <c r="BC81" s="101">
        <f aca="true" t="shared" si="89" ref="BC81:BC86">AW81+AX81</f>
        <v>0</v>
      </c>
      <c r="BD81" s="101">
        <f aca="true" t="shared" si="90" ref="BD81:BD86">H81/(100-BE81)*100</f>
        <v>0</v>
      </c>
      <c r="BE81" s="101">
        <v>0</v>
      </c>
      <c r="BF81" s="101">
        <f>81</f>
        <v>81</v>
      </c>
      <c r="BH81" s="99">
        <f aca="true" t="shared" si="91" ref="BH81:BH86">G81*AO81</f>
        <v>0</v>
      </c>
      <c r="BI81" s="99">
        <f aca="true" t="shared" si="92" ref="BI81:BI86">G81*AP81</f>
        <v>0</v>
      </c>
      <c r="BJ81" s="99">
        <f aca="true" t="shared" si="93" ref="BJ81:BJ86">G81*H81</f>
        <v>0</v>
      </c>
    </row>
    <row r="82" spans="1:62" ht="12.75">
      <c r="A82" s="13" t="s">
        <v>114</v>
      </c>
      <c r="B82" s="13" t="s">
        <v>200</v>
      </c>
      <c r="C82" s="48" t="s">
        <v>278</v>
      </c>
      <c r="D82" s="49"/>
      <c r="E82" s="49"/>
      <c r="F82" s="13" t="s">
        <v>323</v>
      </c>
      <c r="G82" s="23">
        <v>225</v>
      </c>
      <c r="H82" s="99">
        <v>0</v>
      </c>
      <c r="I82" s="99">
        <f t="shared" si="72"/>
        <v>0</v>
      </c>
      <c r="J82" s="99">
        <f t="shared" si="73"/>
        <v>0</v>
      </c>
      <c r="K82" s="99">
        <f t="shared" si="74"/>
        <v>0</v>
      </c>
      <c r="L82" s="100" t="s">
        <v>346</v>
      </c>
      <c r="Z82" s="101">
        <f t="shared" si="75"/>
        <v>0</v>
      </c>
      <c r="AB82" s="101">
        <f t="shared" si="76"/>
        <v>0</v>
      </c>
      <c r="AC82" s="101">
        <f t="shared" si="77"/>
        <v>0</v>
      </c>
      <c r="AD82" s="101">
        <f t="shared" si="78"/>
        <v>0</v>
      </c>
      <c r="AE82" s="101">
        <f t="shared" si="79"/>
        <v>0</v>
      </c>
      <c r="AF82" s="101">
        <f t="shared" si="80"/>
        <v>0</v>
      </c>
      <c r="AG82" s="101">
        <f t="shared" si="81"/>
        <v>0</v>
      </c>
      <c r="AH82" s="101">
        <f t="shared" si="82"/>
        <v>0</v>
      </c>
      <c r="AI82" s="93" t="s">
        <v>361</v>
      </c>
      <c r="AJ82" s="99">
        <f t="shared" si="83"/>
        <v>0</v>
      </c>
      <c r="AK82" s="99">
        <f t="shared" si="84"/>
        <v>0</v>
      </c>
      <c r="AL82" s="99">
        <f t="shared" si="85"/>
        <v>0</v>
      </c>
      <c r="AN82" s="101">
        <v>21</v>
      </c>
      <c r="AO82" s="101">
        <f>H82*0.0126023944549464</f>
        <v>0</v>
      </c>
      <c r="AP82" s="101">
        <f>H82*(1-0.0126023944549464)</f>
        <v>0</v>
      </c>
      <c r="AQ82" s="100" t="s">
        <v>57</v>
      </c>
      <c r="AV82" s="101">
        <f t="shared" si="86"/>
        <v>0</v>
      </c>
      <c r="AW82" s="101">
        <f t="shared" si="87"/>
        <v>0</v>
      </c>
      <c r="AX82" s="101">
        <f t="shared" si="88"/>
        <v>0</v>
      </c>
      <c r="AY82" s="102" t="s">
        <v>369</v>
      </c>
      <c r="AZ82" s="102" t="s">
        <v>377</v>
      </c>
      <c r="BA82" s="93" t="s">
        <v>394</v>
      </c>
      <c r="BC82" s="101">
        <f t="shared" si="89"/>
        <v>0</v>
      </c>
      <c r="BD82" s="101">
        <f t="shared" si="90"/>
        <v>0</v>
      </c>
      <c r="BE82" s="101">
        <v>0</v>
      </c>
      <c r="BF82" s="101">
        <f>82</f>
        <v>82</v>
      </c>
      <c r="BH82" s="99">
        <f t="shared" si="91"/>
        <v>0</v>
      </c>
      <c r="BI82" s="99">
        <f t="shared" si="92"/>
        <v>0</v>
      </c>
      <c r="BJ82" s="99">
        <f t="shared" si="93"/>
        <v>0</v>
      </c>
    </row>
    <row r="83" spans="1:62" ht="12.75">
      <c r="A83" s="13" t="s">
        <v>115</v>
      </c>
      <c r="B83" s="13" t="s">
        <v>201</v>
      </c>
      <c r="C83" s="48" t="s">
        <v>279</v>
      </c>
      <c r="D83" s="49"/>
      <c r="E83" s="49"/>
      <c r="F83" s="13" t="s">
        <v>327</v>
      </c>
      <c r="G83" s="23">
        <v>225</v>
      </c>
      <c r="H83" s="99">
        <v>0</v>
      </c>
      <c r="I83" s="99">
        <f t="shared" si="72"/>
        <v>0</v>
      </c>
      <c r="J83" s="99">
        <f t="shared" si="73"/>
        <v>0</v>
      </c>
      <c r="K83" s="99">
        <f t="shared" si="74"/>
        <v>0</v>
      </c>
      <c r="L83" s="100"/>
      <c r="Z83" s="101">
        <f t="shared" si="75"/>
        <v>0</v>
      </c>
      <c r="AB83" s="101">
        <f t="shared" si="76"/>
        <v>0</v>
      </c>
      <c r="AC83" s="101">
        <f t="shared" si="77"/>
        <v>0</v>
      </c>
      <c r="AD83" s="101">
        <f t="shared" si="78"/>
        <v>0</v>
      </c>
      <c r="AE83" s="101">
        <f t="shared" si="79"/>
        <v>0</v>
      </c>
      <c r="AF83" s="101">
        <f t="shared" si="80"/>
        <v>0</v>
      </c>
      <c r="AG83" s="101">
        <f t="shared" si="81"/>
        <v>0</v>
      </c>
      <c r="AH83" s="101">
        <f t="shared" si="82"/>
        <v>0</v>
      </c>
      <c r="AI83" s="93" t="s">
        <v>361</v>
      </c>
      <c r="AJ83" s="99">
        <f t="shared" si="83"/>
        <v>0</v>
      </c>
      <c r="AK83" s="99">
        <f t="shared" si="84"/>
        <v>0</v>
      </c>
      <c r="AL83" s="99">
        <f t="shared" si="85"/>
        <v>0</v>
      </c>
      <c r="AN83" s="101">
        <v>21</v>
      </c>
      <c r="AO83" s="101">
        <f>H83*0</f>
        <v>0</v>
      </c>
      <c r="AP83" s="101">
        <f>H83*(1-0)</f>
        <v>0</v>
      </c>
      <c r="AQ83" s="100" t="s">
        <v>57</v>
      </c>
      <c r="AV83" s="101">
        <f t="shared" si="86"/>
        <v>0</v>
      </c>
      <c r="AW83" s="101">
        <f t="shared" si="87"/>
        <v>0</v>
      </c>
      <c r="AX83" s="101">
        <f t="shared" si="88"/>
        <v>0</v>
      </c>
      <c r="AY83" s="102" t="s">
        <v>369</v>
      </c>
      <c r="AZ83" s="102" t="s">
        <v>377</v>
      </c>
      <c r="BA83" s="93" t="s">
        <v>394</v>
      </c>
      <c r="BC83" s="101">
        <f t="shared" si="89"/>
        <v>0</v>
      </c>
      <c r="BD83" s="101">
        <f t="shared" si="90"/>
        <v>0</v>
      </c>
      <c r="BE83" s="101">
        <v>0</v>
      </c>
      <c r="BF83" s="101">
        <f>83</f>
        <v>83</v>
      </c>
      <c r="BH83" s="99">
        <f t="shared" si="91"/>
        <v>0</v>
      </c>
      <c r="BI83" s="99">
        <f t="shared" si="92"/>
        <v>0</v>
      </c>
      <c r="BJ83" s="99">
        <f t="shared" si="93"/>
        <v>0</v>
      </c>
    </row>
    <row r="84" spans="1:62" ht="12.75">
      <c r="A84" s="13" t="s">
        <v>116</v>
      </c>
      <c r="B84" s="13" t="s">
        <v>202</v>
      </c>
      <c r="C84" s="48" t="s">
        <v>280</v>
      </c>
      <c r="D84" s="49"/>
      <c r="E84" s="49"/>
      <c r="F84" s="13" t="s">
        <v>323</v>
      </c>
      <c r="G84" s="23">
        <v>225</v>
      </c>
      <c r="H84" s="99">
        <v>0</v>
      </c>
      <c r="I84" s="99">
        <f t="shared" si="72"/>
        <v>0</v>
      </c>
      <c r="J84" s="99">
        <f t="shared" si="73"/>
        <v>0</v>
      </c>
      <c r="K84" s="99">
        <f t="shared" si="74"/>
        <v>0</v>
      </c>
      <c r="L84" s="100" t="s">
        <v>346</v>
      </c>
      <c r="Z84" s="101">
        <f t="shared" si="75"/>
        <v>0</v>
      </c>
      <c r="AB84" s="101">
        <f t="shared" si="76"/>
        <v>0</v>
      </c>
      <c r="AC84" s="101">
        <f t="shared" si="77"/>
        <v>0</v>
      </c>
      <c r="AD84" s="101">
        <f t="shared" si="78"/>
        <v>0</v>
      </c>
      <c r="AE84" s="101">
        <f t="shared" si="79"/>
        <v>0</v>
      </c>
      <c r="AF84" s="101">
        <f t="shared" si="80"/>
        <v>0</v>
      </c>
      <c r="AG84" s="101">
        <f t="shared" si="81"/>
        <v>0</v>
      </c>
      <c r="AH84" s="101">
        <f t="shared" si="82"/>
        <v>0</v>
      </c>
      <c r="AI84" s="93" t="s">
        <v>361</v>
      </c>
      <c r="AJ84" s="99">
        <f t="shared" si="83"/>
        <v>0</v>
      </c>
      <c r="AK84" s="99">
        <f t="shared" si="84"/>
        <v>0</v>
      </c>
      <c r="AL84" s="99">
        <f t="shared" si="85"/>
        <v>0</v>
      </c>
      <c r="AN84" s="101">
        <v>21</v>
      </c>
      <c r="AO84" s="101">
        <f>H84*0.152123947793452</f>
        <v>0</v>
      </c>
      <c r="AP84" s="101">
        <f>H84*(1-0.152123947793452)</f>
        <v>0</v>
      </c>
      <c r="AQ84" s="100" t="s">
        <v>57</v>
      </c>
      <c r="AV84" s="101">
        <f t="shared" si="86"/>
        <v>0</v>
      </c>
      <c r="AW84" s="101">
        <f t="shared" si="87"/>
        <v>0</v>
      </c>
      <c r="AX84" s="101">
        <f t="shared" si="88"/>
        <v>0</v>
      </c>
      <c r="AY84" s="102" t="s">
        <v>369</v>
      </c>
      <c r="AZ84" s="102" t="s">
        <v>377</v>
      </c>
      <c r="BA84" s="93" t="s">
        <v>394</v>
      </c>
      <c r="BC84" s="101">
        <f t="shared" si="89"/>
        <v>0</v>
      </c>
      <c r="BD84" s="101">
        <f t="shared" si="90"/>
        <v>0</v>
      </c>
      <c r="BE84" s="101">
        <v>0</v>
      </c>
      <c r="BF84" s="101">
        <f>84</f>
        <v>84</v>
      </c>
      <c r="BH84" s="99">
        <f t="shared" si="91"/>
        <v>0</v>
      </c>
      <c r="BI84" s="99">
        <f t="shared" si="92"/>
        <v>0</v>
      </c>
      <c r="BJ84" s="99">
        <f t="shared" si="93"/>
        <v>0</v>
      </c>
    </row>
    <row r="85" spans="1:62" ht="12.75">
      <c r="A85" s="13" t="s">
        <v>117</v>
      </c>
      <c r="B85" s="13" t="s">
        <v>203</v>
      </c>
      <c r="C85" s="48" t="s">
        <v>281</v>
      </c>
      <c r="D85" s="49"/>
      <c r="E85" s="49"/>
      <c r="F85" s="13" t="s">
        <v>323</v>
      </c>
      <c r="G85" s="23">
        <v>225</v>
      </c>
      <c r="H85" s="99">
        <v>0</v>
      </c>
      <c r="I85" s="99">
        <f t="shared" si="72"/>
        <v>0</v>
      </c>
      <c r="J85" s="99">
        <f t="shared" si="73"/>
        <v>0</v>
      </c>
      <c r="K85" s="99">
        <f t="shared" si="74"/>
        <v>0</v>
      </c>
      <c r="L85" s="100" t="s">
        <v>346</v>
      </c>
      <c r="Z85" s="101">
        <f t="shared" si="75"/>
        <v>0</v>
      </c>
      <c r="AB85" s="101">
        <f t="shared" si="76"/>
        <v>0</v>
      </c>
      <c r="AC85" s="101">
        <f t="shared" si="77"/>
        <v>0</v>
      </c>
      <c r="AD85" s="101">
        <f t="shared" si="78"/>
        <v>0</v>
      </c>
      <c r="AE85" s="101">
        <f t="shared" si="79"/>
        <v>0</v>
      </c>
      <c r="AF85" s="101">
        <f t="shared" si="80"/>
        <v>0</v>
      </c>
      <c r="AG85" s="101">
        <f t="shared" si="81"/>
        <v>0</v>
      </c>
      <c r="AH85" s="101">
        <f t="shared" si="82"/>
        <v>0</v>
      </c>
      <c r="AI85" s="93" t="s">
        <v>361</v>
      </c>
      <c r="AJ85" s="99">
        <f t="shared" si="83"/>
        <v>0</v>
      </c>
      <c r="AK85" s="99">
        <f t="shared" si="84"/>
        <v>0</v>
      </c>
      <c r="AL85" s="99">
        <f t="shared" si="85"/>
        <v>0</v>
      </c>
      <c r="AN85" s="101">
        <v>21</v>
      </c>
      <c r="AO85" s="101">
        <f>H85*0.508374643927343</f>
        <v>0</v>
      </c>
      <c r="AP85" s="101">
        <f>H85*(1-0.508374643927343)</f>
        <v>0</v>
      </c>
      <c r="AQ85" s="100" t="s">
        <v>57</v>
      </c>
      <c r="AV85" s="101">
        <f t="shared" si="86"/>
        <v>0</v>
      </c>
      <c r="AW85" s="101">
        <f t="shared" si="87"/>
        <v>0</v>
      </c>
      <c r="AX85" s="101">
        <f t="shared" si="88"/>
        <v>0</v>
      </c>
      <c r="AY85" s="102" t="s">
        <v>369</v>
      </c>
      <c r="AZ85" s="102" t="s">
        <v>377</v>
      </c>
      <c r="BA85" s="93" t="s">
        <v>394</v>
      </c>
      <c r="BC85" s="101">
        <f t="shared" si="89"/>
        <v>0</v>
      </c>
      <c r="BD85" s="101">
        <f t="shared" si="90"/>
        <v>0</v>
      </c>
      <c r="BE85" s="101">
        <v>0</v>
      </c>
      <c r="BF85" s="101">
        <f>85</f>
        <v>85</v>
      </c>
      <c r="BH85" s="99">
        <f t="shared" si="91"/>
        <v>0</v>
      </c>
      <c r="BI85" s="99">
        <f t="shared" si="92"/>
        <v>0</v>
      </c>
      <c r="BJ85" s="99">
        <f t="shared" si="93"/>
        <v>0</v>
      </c>
    </row>
    <row r="86" spans="1:62" ht="12.75">
      <c r="A86" s="13" t="s">
        <v>118</v>
      </c>
      <c r="B86" s="13" t="s">
        <v>204</v>
      </c>
      <c r="C86" s="48" t="s">
        <v>282</v>
      </c>
      <c r="D86" s="49"/>
      <c r="E86" s="49"/>
      <c r="F86" s="13" t="s">
        <v>324</v>
      </c>
      <c r="G86" s="23">
        <v>18</v>
      </c>
      <c r="H86" s="99">
        <v>0</v>
      </c>
      <c r="I86" s="99">
        <f t="shared" si="72"/>
        <v>0</v>
      </c>
      <c r="J86" s="99">
        <f t="shared" si="73"/>
        <v>0</v>
      </c>
      <c r="K86" s="99">
        <f t="shared" si="74"/>
        <v>0</v>
      </c>
      <c r="L86" s="100" t="s">
        <v>346</v>
      </c>
      <c r="Z86" s="101">
        <f t="shared" si="75"/>
        <v>0</v>
      </c>
      <c r="AB86" s="101">
        <f t="shared" si="76"/>
        <v>0</v>
      </c>
      <c r="AC86" s="101">
        <f t="shared" si="77"/>
        <v>0</v>
      </c>
      <c r="AD86" s="101">
        <f t="shared" si="78"/>
        <v>0</v>
      </c>
      <c r="AE86" s="101">
        <f t="shared" si="79"/>
        <v>0</v>
      </c>
      <c r="AF86" s="101">
        <f t="shared" si="80"/>
        <v>0</v>
      </c>
      <c r="AG86" s="101">
        <f t="shared" si="81"/>
        <v>0</v>
      </c>
      <c r="AH86" s="101">
        <f t="shared" si="82"/>
        <v>0</v>
      </c>
      <c r="AI86" s="93" t="s">
        <v>361</v>
      </c>
      <c r="AJ86" s="99">
        <f t="shared" si="83"/>
        <v>0</v>
      </c>
      <c r="AK86" s="99">
        <f t="shared" si="84"/>
        <v>0</v>
      </c>
      <c r="AL86" s="99">
        <f t="shared" si="85"/>
        <v>0</v>
      </c>
      <c r="AN86" s="101">
        <v>21</v>
      </c>
      <c r="AO86" s="101">
        <f>H86*0</f>
        <v>0</v>
      </c>
      <c r="AP86" s="101">
        <f>H86*(1-0)</f>
        <v>0</v>
      </c>
      <c r="AQ86" s="100" t="s">
        <v>57</v>
      </c>
      <c r="AV86" s="101">
        <f t="shared" si="86"/>
        <v>0</v>
      </c>
      <c r="AW86" s="101">
        <f t="shared" si="87"/>
        <v>0</v>
      </c>
      <c r="AX86" s="101">
        <f t="shared" si="88"/>
        <v>0</v>
      </c>
      <c r="AY86" s="102" t="s">
        <v>369</v>
      </c>
      <c r="AZ86" s="102" t="s">
        <v>377</v>
      </c>
      <c r="BA86" s="93" t="s">
        <v>394</v>
      </c>
      <c r="BC86" s="101">
        <f t="shared" si="89"/>
        <v>0</v>
      </c>
      <c r="BD86" s="101">
        <f t="shared" si="90"/>
        <v>0</v>
      </c>
      <c r="BE86" s="101">
        <v>0</v>
      </c>
      <c r="BF86" s="101">
        <f>86</f>
        <v>86</v>
      </c>
      <c r="BH86" s="99">
        <f t="shared" si="91"/>
        <v>0</v>
      </c>
      <c r="BI86" s="99">
        <f t="shared" si="92"/>
        <v>0</v>
      </c>
      <c r="BJ86" s="99">
        <f t="shared" si="93"/>
        <v>0</v>
      </c>
    </row>
    <row r="87" spans="1:47" ht="12.75">
      <c r="A87" s="12"/>
      <c r="B87" s="20" t="s">
        <v>205</v>
      </c>
      <c r="C87" s="46" t="s">
        <v>283</v>
      </c>
      <c r="D87" s="47"/>
      <c r="E87" s="47"/>
      <c r="F87" s="12" t="s">
        <v>56</v>
      </c>
      <c r="G87" s="12" t="s">
        <v>56</v>
      </c>
      <c r="H87" s="97" t="s">
        <v>56</v>
      </c>
      <c r="I87" s="98">
        <f>SUM(I88:I88)</f>
        <v>0</v>
      </c>
      <c r="J87" s="98">
        <f>SUM(J88:J88)</f>
        <v>0</v>
      </c>
      <c r="K87" s="98">
        <f>SUM(K88:K88)</f>
        <v>0</v>
      </c>
      <c r="L87" s="93"/>
      <c r="AI87" s="93" t="s">
        <v>361</v>
      </c>
      <c r="AS87" s="98">
        <f>SUM(AJ88:AJ88)</f>
        <v>0</v>
      </c>
      <c r="AT87" s="98">
        <f>SUM(AK88:AK88)</f>
        <v>0</v>
      </c>
      <c r="AU87" s="98">
        <f>SUM(AL88:AL88)</f>
        <v>0</v>
      </c>
    </row>
    <row r="88" spans="1:62" ht="12.75">
      <c r="A88" s="13" t="s">
        <v>119</v>
      </c>
      <c r="B88" s="13" t="s">
        <v>206</v>
      </c>
      <c r="C88" s="48" t="s">
        <v>284</v>
      </c>
      <c r="D88" s="49"/>
      <c r="E88" s="49"/>
      <c r="F88" s="13" t="s">
        <v>328</v>
      </c>
      <c r="G88" s="23">
        <v>11.7</v>
      </c>
      <c r="H88" s="99">
        <v>0</v>
      </c>
      <c r="I88" s="99">
        <f>G88*AO88</f>
        <v>0</v>
      </c>
      <c r="J88" s="99">
        <f>G88*AP88</f>
        <v>0</v>
      </c>
      <c r="K88" s="99">
        <f>G88*H88</f>
        <v>0</v>
      </c>
      <c r="L88" s="100" t="s">
        <v>346</v>
      </c>
      <c r="Z88" s="101">
        <f>IF(AQ88="5",BJ88,0)</f>
        <v>0</v>
      </c>
      <c r="AB88" s="101">
        <f>IF(AQ88="1",BH88,0)</f>
        <v>0</v>
      </c>
      <c r="AC88" s="101">
        <f>IF(AQ88="1",BI88,0)</f>
        <v>0</v>
      </c>
      <c r="AD88" s="101">
        <f>IF(AQ88="7",BH88,0)</f>
        <v>0</v>
      </c>
      <c r="AE88" s="101">
        <f>IF(AQ88="7",BI88,0)</f>
        <v>0</v>
      </c>
      <c r="AF88" s="101">
        <f>IF(AQ88="2",BH88,0)</f>
        <v>0</v>
      </c>
      <c r="AG88" s="101">
        <f>IF(AQ88="2",BI88,0)</f>
        <v>0</v>
      </c>
      <c r="AH88" s="101">
        <f>IF(AQ88="0",BJ88,0)</f>
        <v>0</v>
      </c>
      <c r="AI88" s="93" t="s">
        <v>361</v>
      </c>
      <c r="AJ88" s="99">
        <f>IF(AN88=0,K88,0)</f>
        <v>0</v>
      </c>
      <c r="AK88" s="99">
        <f>IF(AN88=15,K88,0)</f>
        <v>0</v>
      </c>
      <c r="AL88" s="99">
        <f>IF(AN88=21,K88,0)</f>
        <v>0</v>
      </c>
      <c r="AN88" s="101">
        <v>21</v>
      </c>
      <c r="AO88" s="101">
        <f>H88*0</f>
        <v>0</v>
      </c>
      <c r="AP88" s="101">
        <f>H88*(1-0)</f>
        <v>0</v>
      </c>
      <c r="AQ88" s="100" t="s">
        <v>61</v>
      </c>
      <c r="AV88" s="101">
        <f>AW88+AX88</f>
        <v>0</v>
      </c>
      <c r="AW88" s="101">
        <f>G88*AO88</f>
        <v>0</v>
      </c>
      <c r="AX88" s="101">
        <f>G88*AP88</f>
        <v>0</v>
      </c>
      <c r="AY88" s="102" t="s">
        <v>370</v>
      </c>
      <c r="AZ88" s="102" t="s">
        <v>378</v>
      </c>
      <c r="BA88" s="93" t="s">
        <v>394</v>
      </c>
      <c r="BC88" s="101">
        <f>AW88+AX88</f>
        <v>0</v>
      </c>
      <c r="BD88" s="101">
        <f>H88/(100-BE88)*100</f>
        <v>0</v>
      </c>
      <c r="BE88" s="101">
        <v>0</v>
      </c>
      <c r="BF88" s="101">
        <f>88</f>
        <v>88</v>
      </c>
      <c r="BH88" s="99">
        <f>G88*AO88</f>
        <v>0</v>
      </c>
      <c r="BI88" s="99">
        <f>G88*AP88</f>
        <v>0</v>
      </c>
      <c r="BJ88" s="99">
        <f>G88*H88</f>
        <v>0</v>
      </c>
    </row>
    <row r="89" spans="1:47" ht="12.75">
      <c r="A89" s="12"/>
      <c r="B89" s="20"/>
      <c r="C89" s="46" t="s">
        <v>10</v>
      </c>
      <c r="D89" s="47"/>
      <c r="E89" s="47"/>
      <c r="F89" s="12" t="s">
        <v>56</v>
      </c>
      <c r="G89" s="12" t="s">
        <v>56</v>
      </c>
      <c r="H89" s="97" t="s">
        <v>56</v>
      </c>
      <c r="I89" s="98">
        <f>SUM(I90:I96)</f>
        <v>0</v>
      </c>
      <c r="J89" s="98">
        <f>SUM(J90:J96)</f>
        <v>0</v>
      </c>
      <c r="K89" s="98">
        <f>SUM(K90:K96)</f>
        <v>0</v>
      </c>
      <c r="L89" s="93"/>
      <c r="AI89" s="93" t="s">
        <v>361</v>
      </c>
      <c r="AS89" s="98">
        <f>SUM(AJ90:AJ96)</f>
        <v>0</v>
      </c>
      <c r="AT89" s="98">
        <f>SUM(AK90:AK96)</f>
        <v>0</v>
      </c>
      <c r="AU89" s="98">
        <f>SUM(AL90:AL96)</f>
        <v>0</v>
      </c>
    </row>
    <row r="90" spans="1:62" ht="12.75">
      <c r="A90" s="28" t="s">
        <v>120</v>
      </c>
      <c r="B90" s="28" t="s">
        <v>207</v>
      </c>
      <c r="C90" s="52" t="s">
        <v>285</v>
      </c>
      <c r="D90" s="53"/>
      <c r="E90" s="54"/>
      <c r="F90" s="28" t="s">
        <v>327</v>
      </c>
      <c r="G90" s="29">
        <v>2700</v>
      </c>
      <c r="H90" s="106">
        <v>0</v>
      </c>
      <c r="I90" s="106">
        <f aca="true" t="shared" si="94" ref="I90:I96">G90*AO90</f>
        <v>0</v>
      </c>
      <c r="J90" s="106">
        <f aca="true" t="shared" si="95" ref="J90:J96">G90*AP90</f>
        <v>0</v>
      </c>
      <c r="K90" s="106">
        <f aca="true" t="shared" si="96" ref="K90:K96">G90*H90</f>
        <v>0</v>
      </c>
      <c r="L90" s="107"/>
      <c r="Z90" s="101">
        <f aca="true" t="shared" si="97" ref="Z90:Z96">IF(AQ90="5",BJ90,0)</f>
        <v>0</v>
      </c>
      <c r="AB90" s="101">
        <f aca="true" t="shared" si="98" ref="AB90:AB96">IF(AQ90="1",BH90,0)</f>
        <v>0</v>
      </c>
      <c r="AC90" s="101">
        <f aca="true" t="shared" si="99" ref="AC90:AC96">IF(AQ90="1",BI90,0)</f>
        <v>0</v>
      </c>
      <c r="AD90" s="101">
        <f aca="true" t="shared" si="100" ref="AD90:AD96">IF(AQ90="7",BH90,0)</f>
        <v>0</v>
      </c>
      <c r="AE90" s="101">
        <f aca="true" t="shared" si="101" ref="AE90:AE96">IF(AQ90="7",BI90,0)</f>
        <v>0</v>
      </c>
      <c r="AF90" s="101">
        <f aca="true" t="shared" si="102" ref="AF90:AF96">IF(AQ90="2",BH90,0)</f>
        <v>0</v>
      </c>
      <c r="AG90" s="101">
        <f aca="true" t="shared" si="103" ref="AG90:AG96">IF(AQ90="2",BI90,0)</f>
        <v>0</v>
      </c>
      <c r="AH90" s="101">
        <f aca="true" t="shared" si="104" ref="AH90:AH96">IF(AQ90="0",BJ90,0)</f>
        <v>0</v>
      </c>
      <c r="AI90" s="93" t="s">
        <v>361</v>
      </c>
      <c r="AJ90" s="108">
        <f aca="true" t="shared" si="105" ref="AJ90:AJ96">IF(AN90=0,K90,0)</f>
        <v>0</v>
      </c>
      <c r="AK90" s="108">
        <f aca="true" t="shared" si="106" ref="AK90:AK96">IF(AN90=15,K90,0)</f>
        <v>0</v>
      </c>
      <c r="AL90" s="108">
        <f aca="true" t="shared" si="107" ref="AL90:AL96">IF(AN90=21,K90,0)</f>
        <v>0</v>
      </c>
      <c r="AN90" s="101">
        <v>21</v>
      </c>
      <c r="AO90" s="101">
        <f aca="true" t="shared" si="108" ref="AO90:AO96">H90*1</f>
        <v>0</v>
      </c>
      <c r="AP90" s="101">
        <f aca="true" t="shared" si="109" ref="AP90:AP96">H90*(1-1)</f>
        <v>0</v>
      </c>
      <c r="AQ90" s="109" t="s">
        <v>365</v>
      </c>
      <c r="AV90" s="101">
        <f aca="true" t="shared" si="110" ref="AV90:AV96">AW90+AX90</f>
        <v>0</v>
      </c>
      <c r="AW90" s="101">
        <f aca="true" t="shared" si="111" ref="AW90:AW96">G90*AO90</f>
        <v>0</v>
      </c>
      <c r="AX90" s="101">
        <f aca="true" t="shared" si="112" ref="AX90:AX96">G90*AP90</f>
        <v>0</v>
      </c>
      <c r="AY90" s="102" t="s">
        <v>371</v>
      </c>
      <c r="AZ90" s="102" t="s">
        <v>379</v>
      </c>
      <c r="BA90" s="93" t="s">
        <v>394</v>
      </c>
      <c r="BC90" s="101">
        <f aca="true" t="shared" si="113" ref="BC90:BC96">AW90+AX90</f>
        <v>0</v>
      </c>
      <c r="BD90" s="101">
        <f aca="true" t="shared" si="114" ref="BD90:BD96">H90/(100-BE90)*100</f>
        <v>0</v>
      </c>
      <c r="BE90" s="101">
        <v>0</v>
      </c>
      <c r="BF90" s="101">
        <f>90</f>
        <v>90</v>
      </c>
      <c r="BH90" s="108">
        <f aca="true" t="shared" si="115" ref="BH90:BH96">G90*AO90</f>
        <v>0</v>
      </c>
      <c r="BI90" s="108">
        <f aca="true" t="shared" si="116" ref="BI90:BI96">G90*AP90</f>
        <v>0</v>
      </c>
      <c r="BJ90" s="108">
        <f aca="true" t="shared" si="117" ref="BJ90:BJ96">G90*H90</f>
        <v>0</v>
      </c>
    </row>
    <row r="91" spans="1:62" ht="12.75">
      <c r="A91" s="15" t="s">
        <v>121</v>
      </c>
      <c r="B91" s="15" t="s">
        <v>208</v>
      </c>
      <c r="C91" s="55" t="s">
        <v>286</v>
      </c>
      <c r="D91" s="53"/>
      <c r="E91" s="53"/>
      <c r="F91" s="15" t="s">
        <v>329</v>
      </c>
      <c r="G91" s="24">
        <v>338</v>
      </c>
      <c r="H91" s="108">
        <v>0</v>
      </c>
      <c r="I91" s="108">
        <f t="shared" si="94"/>
        <v>0</v>
      </c>
      <c r="J91" s="108">
        <f t="shared" si="95"/>
        <v>0</v>
      </c>
      <c r="K91" s="108">
        <f t="shared" si="96"/>
        <v>0</v>
      </c>
      <c r="L91" s="109"/>
      <c r="Z91" s="101">
        <f t="shared" si="97"/>
        <v>0</v>
      </c>
      <c r="AB91" s="101">
        <f t="shared" si="98"/>
        <v>0</v>
      </c>
      <c r="AC91" s="101">
        <f t="shared" si="99"/>
        <v>0</v>
      </c>
      <c r="AD91" s="101">
        <f t="shared" si="100"/>
        <v>0</v>
      </c>
      <c r="AE91" s="101">
        <f t="shared" si="101"/>
        <v>0</v>
      </c>
      <c r="AF91" s="101">
        <f t="shared" si="102"/>
        <v>0</v>
      </c>
      <c r="AG91" s="101">
        <f t="shared" si="103"/>
        <v>0</v>
      </c>
      <c r="AH91" s="101">
        <f t="shared" si="104"/>
        <v>0</v>
      </c>
      <c r="AI91" s="93" t="s">
        <v>361</v>
      </c>
      <c r="AJ91" s="108">
        <f t="shared" si="105"/>
        <v>0</v>
      </c>
      <c r="AK91" s="108">
        <f t="shared" si="106"/>
        <v>0</v>
      </c>
      <c r="AL91" s="108">
        <f t="shared" si="107"/>
        <v>0</v>
      </c>
      <c r="AN91" s="101">
        <v>21</v>
      </c>
      <c r="AO91" s="101">
        <f t="shared" si="108"/>
        <v>0</v>
      </c>
      <c r="AP91" s="101">
        <f t="shared" si="109"/>
        <v>0</v>
      </c>
      <c r="AQ91" s="109" t="s">
        <v>365</v>
      </c>
      <c r="AV91" s="101">
        <f t="shared" si="110"/>
        <v>0</v>
      </c>
      <c r="AW91" s="101">
        <f t="shared" si="111"/>
        <v>0</v>
      </c>
      <c r="AX91" s="101">
        <f t="shared" si="112"/>
        <v>0</v>
      </c>
      <c r="AY91" s="102" t="s">
        <v>371</v>
      </c>
      <c r="AZ91" s="102" t="s">
        <v>379</v>
      </c>
      <c r="BA91" s="93" t="s">
        <v>394</v>
      </c>
      <c r="BC91" s="101">
        <f t="shared" si="113"/>
        <v>0</v>
      </c>
      <c r="BD91" s="101">
        <f t="shared" si="114"/>
        <v>0</v>
      </c>
      <c r="BE91" s="101">
        <v>0</v>
      </c>
      <c r="BF91" s="101">
        <f>91</f>
        <v>91</v>
      </c>
      <c r="BH91" s="108">
        <f t="shared" si="115"/>
        <v>0</v>
      </c>
      <c r="BI91" s="108">
        <f t="shared" si="116"/>
        <v>0</v>
      </c>
      <c r="BJ91" s="108">
        <f t="shared" si="117"/>
        <v>0</v>
      </c>
    </row>
    <row r="92" spans="1:62" ht="12.75">
      <c r="A92" s="15" t="s">
        <v>122</v>
      </c>
      <c r="B92" s="15" t="s">
        <v>209</v>
      </c>
      <c r="C92" s="55" t="s">
        <v>287</v>
      </c>
      <c r="D92" s="53"/>
      <c r="E92" s="53"/>
      <c r="F92" s="15" t="s">
        <v>327</v>
      </c>
      <c r="G92" s="24">
        <v>675</v>
      </c>
      <c r="H92" s="108">
        <v>0</v>
      </c>
      <c r="I92" s="108">
        <f t="shared" si="94"/>
        <v>0</v>
      </c>
      <c r="J92" s="108">
        <f t="shared" si="95"/>
        <v>0</v>
      </c>
      <c r="K92" s="108">
        <f t="shared" si="96"/>
        <v>0</v>
      </c>
      <c r="L92" s="109"/>
      <c r="Z92" s="101">
        <f t="shared" si="97"/>
        <v>0</v>
      </c>
      <c r="AB92" s="101">
        <f t="shared" si="98"/>
        <v>0</v>
      </c>
      <c r="AC92" s="101">
        <f t="shared" si="99"/>
        <v>0</v>
      </c>
      <c r="AD92" s="101">
        <f t="shared" si="100"/>
        <v>0</v>
      </c>
      <c r="AE92" s="101">
        <f t="shared" si="101"/>
        <v>0</v>
      </c>
      <c r="AF92" s="101">
        <f t="shared" si="102"/>
        <v>0</v>
      </c>
      <c r="AG92" s="101">
        <f t="shared" si="103"/>
        <v>0</v>
      </c>
      <c r="AH92" s="101">
        <f t="shared" si="104"/>
        <v>0</v>
      </c>
      <c r="AI92" s="93" t="s">
        <v>361</v>
      </c>
      <c r="AJ92" s="108">
        <f t="shared" si="105"/>
        <v>0</v>
      </c>
      <c r="AK92" s="108">
        <f t="shared" si="106"/>
        <v>0</v>
      </c>
      <c r="AL92" s="108">
        <f t="shared" si="107"/>
        <v>0</v>
      </c>
      <c r="AN92" s="101">
        <v>21</v>
      </c>
      <c r="AO92" s="101">
        <f t="shared" si="108"/>
        <v>0</v>
      </c>
      <c r="AP92" s="101">
        <f t="shared" si="109"/>
        <v>0</v>
      </c>
      <c r="AQ92" s="109" t="s">
        <v>365</v>
      </c>
      <c r="AV92" s="101">
        <f t="shared" si="110"/>
        <v>0</v>
      </c>
      <c r="AW92" s="101">
        <f t="shared" si="111"/>
        <v>0</v>
      </c>
      <c r="AX92" s="101">
        <f t="shared" si="112"/>
        <v>0</v>
      </c>
      <c r="AY92" s="102" t="s">
        <v>371</v>
      </c>
      <c r="AZ92" s="102" t="s">
        <v>379</v>
      </c>
      <c r="BA92" s="93" t="s">
        <v>394</v>
      </c>
      <c r="BC92" s="101">
        <f t="shared" si="113"/>
        <v>0</v>
      </c>
      <c r="BD92" s="101">
        <f t="shared" si="114"/>
        <v>0</v>
      </c>
      <c r="BE92" s="101">
        <v>0</v>
      </c>
      <c r="BF92" s="101">
        <f>92</f>
        <v>92</v>
      </c>
      <c r="BH92" s="108">
        <f t="shared" si="115"/>
        <v>0</v>
      </c>
      <c r="BI92" s="108">
        <f t="shared" si="116"/>
        <v>0</v>
      </c>
      <c r="BJ92" s="108">
        <f t="shared" si="117"/>
        <v>0</v>
      </c>
    </row>
    <row r="93" spans="1:62" ht="12.75">
      <c r="A93" s="15" t="s">
        <v>123</v>
      </c>
      <c r="B93" s="15" t="s">
        <v>210</v>
      </c>
      <c r="C93" s="55" t="s">
        <v>288</v>
      </c>
      <c r="D93" s="53"/>
      <c r="E93" s="53"/>
      <c r="F93" s="15" t="s">
        <v>327</v>
      </c>
      <c r="G93" s="24">
        <v>675</v>
      </c>
      <c r="H93" s="108">
        <v>0</v>
      </c>
      <c r="I93" s="108">
        <f t="shared" si="94"/>
        <v>0</v>
      </c>
      <c r="J93" s="108">
        <f t="shared" si="95"/>
        <v>0</v>
      </c>
      <c r="K93" s="108">
        <f t="shared" si="96"/>
        <v>0</v>
      </c>
      <c r="L93" s="109"/>
      <c r="Z93" s="101">
        <f t="shared" si="97"/>
        <v>0</v>
      </c>
      <c r="AB93" s="101">
        <f t="shared" si="98"/>
        <v>0</v>
      </c>
      <c r="AC93" s="101">
        <f t="shared" si="99"/>
        <v>0</v>
      </c>
      <c r="AD93" s="101">
        <f t="shared" si="100"/>
        <v>0</v>
      </c>
      <c r="AE93" s="101">
        <f t="shared" si="101"/>
        <v>0</v>
      </c>
      <c r="AF93" s="101">
        <f t="shared" si="102"/>
        <v>0</v>
      </c>
      <c r="AG93" s="101">
        <f t="shared" si="103"/>
        <v>0</v>
      </c>
      <c r="AH93" s="101">
        <f t="shared" si="104"/>
        <v>0</v>
      </c>
      <c r="AI93" s="93" t="s">
        <v>361</v>
      </c>
      <c r="AJ93" s="108">
        <f t="shared" si="105"/>
        <v>0</v>
      </c>
      <c r="AK93" s="108">
        <f t="shared" si="106"/>
        <v>0</v>
      </c>
      <c r="AL93" s="108">
        <f t="shared" si="107"/>
        <v>0</v>
      </c>
      <c r="AN93" s="101">
        <v>21</v>
      </c>
      <c r="AO93" s="101">
        <f t="shared" si="108"/>
        <v>0</v>
      </c>
      <c r="AP93" s="101">
        <f t="shared" si="109"/>
        <v>0</v>
      </c>
      <c r="AQ93" s="109" t="s">
        <v>365</v>
      </c>
      <c r="AV93" s="101">
        <f t="shared" si="110"/>
        <v>0</v>
      </c>
      <c r="AW93" s="101">
        <f t="shared" si="111"/>
        <v>0</v>
      </c>
      <c r="AX93" s="101">
        <f t="shared" si="112"/>
        <v>0</v>
      </c>
      <c r="AY93" s="102" t="s">
        <v>371</v>
      </c>
      <c r="AZ93" s="102" t="s">
        <v>379</v>
      </c>
      <c r="BA93" s="93" t="s">
        <v>394</v>
      </c>
      <c r="BC93" s="101">
        <f t="shared" si="113"/>
        <v>0</v>
      </c>
      <c r="BD93" s="101">
        <f t="shared" si="114"/>
        <v>0</v>
      </c>
      <c r="BE93" s="101">
        <v>0</v>
      </c>
      <c r="BF93" s="101">
        <f>93</f>
        <v>93</v>
      </c>
      <c r="BH93" s="108">
        <f t="shared" si="115"/>
        <v>0</v>
      </c>
      <c r="BI93" s="108">
        <f t="shared" si="116"/>
        <v>0</v>
      </c>
      <c r="BJ93" s="108">
        <f t="shared" si="117"/>
        <v>0</v>
      </c>
    </row>
    <row r="94" spans="1:62" ht="12.75">
      <c r="A94" s="15" t="s">
        <v>124</v>
      </c>
      <c r="B94" s="15" t="s">
        <v>211</v>
      </c>
      <c r="C94" s="55" t="s">
        <v>289</v>
      </c>
      <c r="D94" s="53"/>
      <c r="E94" s="53"/>
      <c r="F94" s="15" t="s">
        <v>327</v>
      </c>
      <c r="G94" s="24">
        <v>675</v>
      </c>
      <c r="H94" s="108">
        <v>0</v>
      </c>
      <c r="I94" s="108">
        <f t="shared" si="94"/>
        <v>0</v>
      </c>
      <c r="J94" s="108">
        <f t="shared" si="95"/>
        <v>0</v>
      </c>
      <c r="K94" s="108">
        <f t="shared" si="96"/>
        <v>0</v>
      </c>
      <c r="L94" s="109"/>
      <c r="Z94" s="101">
        <f t="shared" si="97"/>
        <v>0</v>
      </c>
      <c r="AB94" s="101">
        <f t="shared" si="98"/>
        <v>0</v>
      </c>
      <c r="AC94" s="101">
        <f t="shared" si="99"/>
        <v>0</v>
      </c>
      <c r="AD94" s="101">
        <f t="shared" si="100"/>
        <v>0</v>
      </c>
      <c r="AE94" s="101">
        <f t="shared" si="101"/>
        <v>0</v>
      </c>
      <c r="AF94" s="101">
        <f t="shared" si="102"/>
        <v>0</v>
      </c>
      <c r="AG94" s="101">
        <f t="shared" si="103"/>
        <v>0</v>
      </c>
      <c r="AH94" s="101">
        <f t="shared" si="104"/>
        <v>0</v>
      </c>
      <c r="AI94" s="93" t="s">
        <v>361</v>
      </c>
      <c r="AJ94" s="108">
        <f t="shared" si="105"/>
        <v>0</v>
      </c>
      <c r="AK94" s="108">
        <f t="shared" si="106"/>
        <v>0</v>
      </c>
      <c r="AL94" s="108">
        <f t="shared" si="107"/>
        <v>0</v>
      </c>
      <c r="AN94" s="101">
        <v>21</v>
      </c>
      <c r="AO94" s="101">
        <f t="shared" si="108"/>
        <v>0</v>
      </c>
      <c r="AP94" s="101">
        <f t="shared" si="109"/>
        <v>0</v>
      </c>
      <c r="AQ94" s="109" t="s">
        <v>365</v>
      </c>
      <c r="AV94" s="101">
        <f t="shared" si="110"/>
        <v>0</v>
      </c>
      <c r="AW94" s="101">
        <f t="shared" si="111"/>
        <v>0</v>
      </c>
      <c r="AX94" s="101">
        <f t="shared" si="112"/>
        <v>0</v>
      </c>
      <c r="AY94" s="102" t="s">
        <v>371</v>
      </c>
      <c r="AZ94" s="102" t="s">
        <v>379</v>
      </c>
      <c r="BA94" s="93" t="s">
        <v>394</v>
      </c>
      <c r="BC94" s="101">
        <f t="shared" si="113"/>
        <v>0</v>
      </c>
      <c r="BD94" s="101">
        <f t="shared" si="114"/>
        <v>0</v>
      </c>
      <c r="BE94" s="101">
        <v>0</v>
      </c>
      <c r="BF94" s="101">
        <f>94</f>
        <v>94</v>
      </c>
      <c r="BH94" s="108">
        <f t="shared" si="115"/>
        <v>0</v>
      </c>
      <c r="BI94" s="108">
        <f t="shared" si="116"/>
        <v>0</v>
      </c>
      <c r="BJ94" s="108">
        <f t="shared" si="117"/>
        <v>0</v>
      </c>
    </row>
    <row r="95" spans="1:62" ht="12.75">
      <c r="A95" s="15" t="s">
        <v>125</v>
      </c>
      <c r="B95" s="15" t="s">
        <v>212</v>
      </c>
      <c r="C95" s="55" t="s">
        <v>290</v>
      </c>
      <c r="D95" s="53"/>
      <c r="E95" s="53"/>
      <c r="F95" s="15" t="s">
        <v>324</v>
      </c>
      <c r="G95" s="24">
        <v>18</v>
      </c>
      <c r="H95" s="108">
        <v>0</v>
      </c>
      <c r="I95" s="108">
        <f t="shared" si="94"/>
        <v>0</v>
      </c>
      <c r="J95" s="108">
        <f t="shared" si="95"/>
        <v>0</v>
      </c>
      <c r="K95" s="108">
        <f t="shared" si="96"/>
        <v>0</v>
      </c>
      <c r="L95" s="109" t="s">
        <v>345</v>
      </c>
      <c r="Z95" s="101">
        <f t="shared" si="97"/>
        <v>0</v>
      </c>
      <c r="AB95" s="101">
        <f t="shared" si="98"/>
        <v>0</v>
      </c>
      <c r="AC95" s="101">
        <f t="shared" si="99"/>
        <v>0</v>
      </c>
      <c r="AD95" s="101">
        <f t="shared" si="100"/>
        <v>0</v>
      </c>
      <c r="AE95" s="101">
        <f t="shared" si="101"/>
        <v>0</v>
      </c>
      <c r="AF95" s="101">
        <f t="shared" si="102"/>
        <v>0</v>
      </c>
      <c r="AG95" s="101">
        <f t="shared" si="103"/>
        <v>0</v>
      </c>
      <c r="AH95" s="101">
        <f t="shared" si="104"/>
        <v>0</v>
      </c>
      <c r="AI95" s="93" t="s">
        <v>361</v>
      </c>
      <c r="AJ95" s="108">
        <f t="shared" si="105"/>
        <v>0</v>
      </c>
      <c r="AK95" s="108">
        <f t="shared" si="106"/>
        <v>0</v>
      </c>
      <c r="AL95" s="108">
        <f t="shared" si="107"/>
        <v>0</v>
      </c>
      <c r="AN95" s="101">
        <v>21</v>
      </c>
      <c r="AO95" s="101">
        <f t="shared" si="108"/>
        <v>0</v>
      </c>
      <c r="AP95" s="101">
        <f t="shared" si="109"/>
        <v>0</v>
      </c>
      <c r="AQ95" s="109" t="s">
        <v>365</v>
      </c>
      <c r="AV95" s="101">
        <f t="shared" si="110"/>
        <v>0</v>
      </c>
      <c r="AW95" s="101">
        <f t="shared" si="111"/>
        <v>0</v>
      </c>
      <c r="AX95" s="101">
        <f t="shared" si="112"/>
        <v>0</v>
      </c>
      <c r="AY95" s="102" t="s">
        <v>371</v>
      </c>
      <c r="AZ95" s="102" t="s">
        <v>379</v>
      </c>
      <c r="BA95" s="93" t="s">
        <v>394</v>
      </c>
      <c r="BC95" s="101">
        <f t="shared" si="113"/>
        <v>0</v>
      </c>
      <c r="BD95" s="101">
        <f t="shared" si="114"/>
        <v>0</v>
      </c>
      <c r="BE95" s="101">
        <v>0</v>
      </c>
      <c r="BF95" s="101">
        <f>95</f>
        <v>95</v>
      </c>
      <c r="BH95" s="108">
        <f t="shared" si="115"/>
        <v>0</v>
      </c>
      <c r="BI95" s="108">
        <f t="shared" si="116"/>
        <v>0</v>
      </c>
      <c r="BJ95" s="108">
        <f t="shared" si="117"/>
        <v>0</v>
      </c>
    </row>
    <row r="96" spans="1:62" ht="12.75">
      <c r="A96" s="15" t="s">
        <v>126</v>
      </c>
      <c r="B96" s="15" t="s">
        <v>213</v>
      </c>
      <c r="C96" s="55" t="s">
        <v>291</v>
      </c>
      <c r="D96" s="53"/>
      <c r="E96" s="53"/>
      <c r="F96" s="15" t="s">
        <v>327</v>
      </c>
      <c r="G96" s="24">
        <v>225</v>
      </c>
      <c r="H96" s="108">
        <v>0</v>
      </c>
      <c r="I96" s="108">
        <f t="shared" si="94"/>
        <v>0</v>
      </c>
      <c r="J96" s="108">
        <f t="shared" si="95"/>
        <v>0</v>
      </c>
      <c r="K96" s="108">
        <f t="shared" si="96"/>
        <v>0</v>
      </c>
      <c r="L96" s="109"/>
      <c r="Z96" s="101">
        <f t="shared" si="97"/>
        <v>0</v>
      </c>
      <c r="AB96" s="101">
        <f t="shared" si="98"/>
        <v>0</v>
      </c>
      <c r="AC96" s="101">
        <f t="shared" si="99"/>
        <v>0</v>
      </c>
      <c r="AD96" s="101">
        <f t="shared" si="100"/>
        <v>0</v>
      </c>
      <c r="AE96" s="101">
        <f t="shared" si="101"/>
        <v>0</v>
      </c>
      <c r="AF96" s="101">
        <f t="shared" si="102"/>
        <v>0</v>
      </c>
      <c r="AG96" s="101">
        <f t="shared" si="103"/>
        <v>0</v>
      </c>
      <c r="AH96" s="101">
        <f t="shared" si="104"/>
        <v>0</v>
      </c>
      <c r="AI96" s="93" t="s">
        <v>361</v>
      </c>
      <c r="AJ96" s="108">
        <f t="shared" si="105"/>
        <v>0</v>
      </c>
      <c r="AK96" s="108">
        <f t="shared" si="106"/>
        <v>0</v>
      </c>
      <c r="AL96" s="108">
        <f t="shared" si="107"/>
        <v>0</v>
      </c>
      <c r="AN96" s="101">
        <v>21</v>
      </c>
      <c r="AO96" s="101">
        <f t="shared" si="108"/>
        <v>0</v>
      </c>
      <c r="AP96" s="101">
        <f t="shared" si="109"/>
        <v>0</v>
      </c>
      <c r="AQ96" s="109" t="s">
        <v>365</v>
      </c>
      <c r="AV96" s="101">
        <f t="shared" si="110"/>
        <v>0</v>
      </c>
      <c r="AW96" s="101">
        <f t="shared" si="111"/>
        <v>0</v>
      </c>
      <c r="AX96" s="101">
        <f t="shared" si="112"/>
        <v>0</v>
      </c>
      <c r="AY96" s="102" t="s">
        <v>371</v>
      </c>
      <c r="AZ96" s="102" t="s">
        <v>379</v>
      </c>
      <c r="BA96" s="93" t="s">
        <v>394</v>
      </c>
      <c r="BC96" s="101">
        <f t="shared" si="113"/>
        <v>0</v>
      </c>
      <c r="BD96" s="101">
        <f t="shared" si="114"/>
        <v>0</v>
      </c>
      <c r="BE96" s="101">
        <v>0</v>
      </c>
      <c r="BF96" s="101">
        <f>96</f>
        <v>96</v>
      </c>
      <c r="BH96" s="108">
        <f t="shared" si="115"/>
        <v>0</v>
      </c>
      <c r="BI96" s="108">
        <f t="shared" si="116"/>
        <v>0</v>
      </c>
      <c r="BJ96" s="108">
        <f t="shared" si="117"/>
        <v>0</v>
      </c>
    </row>
    <row r="97" spans="1:12" ht="12.75">
      <c r="A97" s="14"/>
      <c r="B97" s="21"/>
      <c r="C97" s="50" t="s">
        <v>292</v>
      </c>
      <c r="D97" s="51"/>
      <c r="E97" s="51"/>
      <c r="F97" s="14" t="s">
        <v>56</v>
      </c>
      <c r="G97" s="14" t="s">
        <v>56</v>
      </c>
      <c r="H97" s="103" t="s">
        <v>56</v>
      </c>
      <c r="I97" s="104">
        <f>I98+I100+I107+I109</f>
        <v>0</v>
      </c>
      <c r="J97" s="104">
        <f>J98+J100+J107+J109</f>
        <v>0</v>
      </c>
      <c r="K97" s="104">
        <f>K98+K100+K107+K109</f>
        <v>0</v>
      </c>
      <c r="L97" s="105"/>
    </row>
    <row r="98" spans="1:47" ht="12.75">
      <c r="A98" s="12"/>
      <c r="B98" s="20" t="s">
        <v>197</v>
      </c>
      <c r="C98" s="46" t="s">
        <v>274</v>
      </c>
      <c r="D98" s="47"/>
      <c r="E98" s="47"/>
      <c r="F98" s="12" t="s">
        <v>56</v>
      </c>
      <c r="G98" s="12" t="s">
        <v>56</v>
      </c>
      <c r="H98" s="97" t="s">
        <v>56</v>
      </c>
      <c r="I98" s="98">
        <f>SUM(I99:I99)</f>
        <v>0</v>
      </c>
      <c r="J98" s="98">
        <f>SUM(J99:J99)</f>
        <v>0</v>
      </c>
      <c r="K98" s="98">
        <f>SUM(K99:K99)</f>
        <v>0</v>
      </c>
      <c r="L98" s="93"/>
      <c r="AI98" s="93" t="s">
        <v>362</v>
      </c>
      <c r="AS98" s="98">
        <f>SUM(AJ99:AJ99)</f>
        <v>0</v>
      </c>
      <c r="AT98" s="98">
        <f>SUM(AK99:AK99)</f>
        <v>0</v>
      </c>
      <c r="AU98" s="98">
        <f>SUM(AL99:AL99)</f>
        <v>0</v>
      </c>
    </row>
    <row r="99" spans="1:62" ht="12.75">
      <c r="A99" s="13" t="s">
        <v>127</v>
      </c>
      <c r="B99" s="13" t="s">
        <v>198</v>
      </c>
      <c r="C99" s="48" t="s">
        <v>275</v>
      </c>
      <c r="D99" s="49"/>
      <c r="E99" s="49"/>
      <c r="F99" s="13" t="s">
        <v>326</v>
      </c>
      <c r="G99" s="23">
        <v>279</v>
      </c>
      <c r="H99" s="99">
        <v>0</v>
      </c>
      <c r="I99" s="99">
        <f>G99*AO99</f>
        <v>0</v>
      </c>
      <c r="J99" s="99">
        <f>G99*AP99</f>
        <v>0</v>
      </c>
      <c r="K99" s="99">
        <f>G99*H99</f>
        <v>0</v>
      </c>
      <c r="L99" s="100"/>
      <c r="Z99" s="101">
        <f>IF(AQ99="5",BJ99,0)</f>
        <v>0</v>
      </c>
      <c r="AB99" s="101">
        <f>IF(AQ99="1",BH99,0)</f>
        <v>0</v>
      </c>
      <c r="AC99" s="101">
        <f>IF(AQ99="1",BI99,0)</f>
        <v>0</v>
      </c>
      <c r="AD99" s="101">
        <f>IF(AQ99="7",BH99,0)</f>
        <v>0</v>
      </c>
      <c r="AE99" s="101">
        <f>IF(AQ99="7",BI99,0)</f>
        <v>0</v>
      </c>
      <c r="AF99" s="101">
        <f>IF(AQ99="2",BH99,0)</f>
        <v>0</v>
      </c>
      <c r="AG99" s="101">
        <f>IF(AQ99="2",BI99,0)</f>
        <v>0</v>
      </c>
      <c r="AH99" s="101">
        <f>IF(AQ99="0",BJ99,0)</f>
        <v>0</v>
      </c>
      <c r="AI99" s="93" t="s">
        <v>362</v>
      </c>
      <c r="AJ99" s="99">
        <f>IF(AN99=0,K99,0)</f>
        <v>0</v>
      </c>
      <c r="AK99" s="99">
        <f>IF(AN99=15,K99,0)</f>
        <v>0</v>
      </c>
      <c r="AL99" s="99">
        <f>IF(AN99=21,K99,0)</f>
        <v>0</v>
      </c>
      <c r="AN99" s="101">
        <v>21</v>
      </c>
      <c r="AO99" s="101">
        <f>H99*0</f>
        <v>0</v>
      </c>
      <c r="AP99" s="101">
        <f>H99*(1-0)</f>
        <v>0</v>
      </c>
      <c r="AQ99" s="100" t="s">
        <v>57</v>
      </c>
      <c r="AV99" s="101">
        <f>AW99+AX99</f>
        <v>0</v>
      </c>
      <c r="AW99" s="101">
        <f>G99*AO99</f>
        <v>0</v>
      </c>
      <c r="AX99" s="101">
        <f>G99*AP99</f>
        <v>0</v>
      </c>
      <c r="AY99" s="102" t="s">
        <v>368</v>
      </c>
      <c r="AZ99" s="102" t="s">
        <v>380</v>
      </c>
      <c r="BA99" s="93" t="s">
        <v>395</v>
      </c>
      <c r="BC99" s="101">
        <f>AW99+AX99</f>
        <v>0</v>
      </c>
      <c r="BD99" s="101">
        <f>H99/(100-BE99)*100</f>
        <v>0</v>
      </c>
      <c r="BE99" s="101">
        <v>0</v>
      </c>
      <c r="BF99" s="101">
        <f>99</f>
        <v>99</v>
      </c>
      <c r="BH99" s="99">
        <f>G99*AO99</f>
        <v>0</v>
      </c>
      <c r="BI99" s="99">
        <f>G99*AP99</f>
        <v>0</v>
      </c>
      <c r="BJ99" s="99">
        <f>G99*H99</f>
        <v>0</v>
      </c>
    </row>
    <row r="100" spans="1:47" ht="12.75">
      <c r="A100" s="12"/>
      <c r="B100" s="20" t="s">
        <v>74</v>
      </c>
      <c r="C100" s="46" t="s">
        <v>276</v>
      </c>
      <c r="D100" s="47"/>
      <c r="E100" s="47"/>
      <c r="F100" s="12" t="s">
        <v>56</v>
      </c>
      <c r="G100" s="12" t="s">
        <v>56</v>
      </c>
      <c r="H100" s="97" t="s">
        <v>56</v>
      </c>
      <c r="I100" s="98">
        <f>SUM(I101:I106)</f>
        <v>0</v>
      </c>
      <c r="J100" s="98">
        <f>SUM(J101:J106)</f>
        <v>0</v>
      </c>
      <c r="K100" s="98">
        <f>SUM(K101:K106)</f>
        <v>0</v>
      </c>
      <c r="L100" s="93"/>
      <c r="AI100" s="93" t="s">
        <v>362</v>
      </c>
      <c r="AS100" s="98">
        <f>SUM(AJ101:AJ106)</f>
        <v>0</v>
      </c>
      <c r="AT100" s="98">
        <f>SUM(AK101:AK106)</f>
        <v>0</v>
      </c>
      <c r="AU100" s="98">
        <f>SUM(AL101:AL106)</f>
        <v>0</v>
      </c>
    </row>
    <row r="101" spans="1:62" ht="12.75">
      <c r="A101" s="13" t="s">
        <v>128</v>
      </c>
      <c r="B101" s="13" t="s">
        <v>199</v>
      </c>
      <c r="C101" s="48" t="s">
        <v>277</v>
      </c>
      <c r="D101" s="49"/>
      <c r="E101" s="49"/>
      <c r="F101" s="13" t="s">
        <v>323</v>
      </c>
      <c r="G101" s="23">
        <v>279</v>
      </c>
      <c r="H101" s="99">
        <v>0</v>
      </c>
      <c r="I101" s="99">
        <f aca="true" t="shared" si="118" ref="I101:I106">G101*AO101</f>
        <v>0</v>
      </c>
      <c r="J101" s="99">
        <f aca="true" t="shared" si="119" ref="J101:J106">G101*AP101</f>
        <v>0</v>
      </c>
      <c r="K101" s="99">
        <f aca="true" t="shared" si="120" ref="K101:K106">G101*H101</f>
        <v>0</v>
      </c>
      <c r="L101" s="100" t="s">
        <v>346</v>
      </c>
      <c r="Z101" s="101">
        <f aca="true" t="shared" si="121" ref="Z101:Z106">IF(AQ101="5",BJ101,0)</f>
        <v>0</v>
      </c>
      <c r="AB101" s="101">
        <f aca="true" t="shared" si="122" ref="AB101:AB106">IF(AQ101="1",BH101,0)</f>
        <v>0</v>
      </c>
      <c r="AC101" s="101">
        <f aca="true" t="shared" si="123" ref="AC101:AC106">IF(AQ101="1",BI101,0)</f>
        <v>0</v>
      </c>
      <c r="AD101" s="101">
        <f aca="true" t="shared" si="124" ref="AD101:AD106">IF(AQ101="7",BH101,0)</f>
        <v>0</v>
      </c>
      <c r="AE101" s="101">
        <f aca="true" t="shared" si="125" ref="AE101:AE106">IF(AQ101="7",BI101,0)</f>
        <v>0</v>
      </c>
      <c r="AF101" s="101">
        <f aca="true" t="shared" si="126" ref="AF101:AF106">IF(AQ101="2",BH101,0)</f>
        <v>0</v>
      </c>
      <c r="AG101" s="101">
        <f aca="true" t="shared" si="127" ref="AG101:AG106">IF(AQ101="2",BI101,0)</f>
        <v>0</v>
      </c>
      <c r="AH101" s="101">
        <f aca="true" t="shared" si="128" ref="AH101:AH106">IF(AQ101="0",BJ101,0)</f>
        <v>0</v>
      </c>
      <c r="AI101" s="93" t="s">
        <v>362</v>
      </c>
      <c r="AJ101" s="99">
        <f aca="true" t="shared" si="129" ref="AJ101:AJ106">IF(AN101=0,K101,0)</f>
        <v>0</v>
      </c>
      <c r="AK101" s="99">
        <f aca="true" t="shared" si="130" ref="AK101:AK106">IF(AN101=15,K101,0)</f>
        <v>0</v>
      </c>
      <c r="AL101" s="99">
        <f aca="true" t="shared" si="131" ref="AL101:AL106">IF(AN101=21,K101,0)</f>
        <v>0</v>
      </c>
      <c r="AN101" s="101">
        <v>21</v>
      </c>
      <c r="AO101" s="101">
        <f>H101*0</f>
        <v>0</v>
      </c>
      <c r="AP101" s="101">
        <f>H101*(1-0)</f>
        <v>0</v>
      </c>
      <c r="AQ101" s="100" t="s">
        <v>57</v>
      </c>
      <c r="AV101" s="101">
        <f aca="true" t="shared" si="132" ref="AV101:AV106">AW101+AX101</f>
        <v>0</v>
      </c>
      <c r="AW101" s="101">
        <f aca="true" t="shared" si="133" ref="AW101:AW106">G101*AO101</f>
        <v>0</v>
      </c>
      <c r="AX101" s="101">
        <f aca="true" t="shared" si="134" ref="AX101:AX106">G101*AP101</f>
        <v>0</v>
      </c>
      <c r="AY101" s="102" t="s">
        <v>369</v>
      </c>
      <c r="AZ101" s="102" t="s">
        <v>380</v>
      </c>
      <c r="BA101" s="93" t="s">
        <v>395</v>
      </c>
      <c r="BC101" s="101">
        <f aca="true" t="shared" si="135" ref="BC101:BC106">AW101+AX101</f>
        <v>0</v>
      </c>
      <c r="BD101" s="101">
        <f aca="true" t="shared" si="136" ref="BD101:BD106">H101/(100-BE101)*100</f>
        <v>0</v>
      </c>
      <c r="BE101" s="101">
        <v>0</v>
      </c>
      <c r="BF101" s="101">
        <f>101</f>
        <v>101</v>
      </c>
      <c r="BH101" s="99">
        <f aca="true" t="shared" si="137" ref="BH101:BH106">G101*AO101</f>
        <v>0</v>
      </c>
      <c r="BI101" s="99">
        <f aca="true" t="shared" si="138" ref="BI101:BI106">G101*AP101</f>
        <v>0</v>
      </c>
      <c r="BJ101" s="99">
        <f aca="true" t="shared" si="139" ref="BJ101:BJ106">G101*H101</f>
        <v>0</v>
      </c>
    </row>
    <row r="102" spans="1:62" ht="12.75">
      <c r="A102" s="13" t="s">
        <v>129</v>
      </c>
      <c r="B102" s="13" t="s">
        <v>214</v>
      </c>
      <c r="C102" s="48" t="s">
        <v>293</v>
      </c>
      <c r="D102" s="49"/>
      <c r="E102" s="49"/>
      <c r="F102" s="13" t="s">
        <v>323</v>
      </c>
      <c r="G102" s="23">
        <v>279</v>
      </c>
      <c r="H102" s="99">
        <v>0</v>
      </c>
      <c r="I102" s="99">
        <f t="shared" si="118"/>
        <v>0</v>
      </c>
      <c r="J102" s="99">
        <f t="shared" si="119"/>
        <v>0</v>
      </c>
      <c r="K102" s="99">
        <f t="shared" si="120"/>
        <v>0</v>
      </c>
      <c r="L102" s="100" t="s">
        <v>346</v>
      </c>
      <c r="Z102" s="101">
        <f t="shared" si="121"/>
        <v>0</v>
      </c>
      <c r="AB102" s="101">
        <f t="shared" si="122"/>
        <v>0</v>
      </c>
      <c r="AC102" s="101">
        <f t="shared" si="123"/>
        <v>0</v>
      </c>
      <c r="AD102" s="101">
        <f t="shared" si="124"/>
        <v>0</v>
      </c>
      <c r="AE102" s="101">
        <f t="shared" si="125"/>
        <v>0</v>
      </c>
      <c r="AF102" s="101">
        <f t="shared" si="126"/>
        <v>0</v>
      </c>
      <c r="AG102" s="101">
        <f t="shared" si="127"/>
        <v>0</v>
      </c>
      <c r="AH102" s="101">
        <f t="shared" si="128"/>
        <v>0</v>
      </c>
      <c r="AI102" s="93" t="s">
        <v>362</v>
      </c>
      <c r="AJ102" s="99">
        <f t="shared" si="129"/>
        <v>0</v>
      </c>
      <c r="AK102" s="99">
        <f t="shared" si="130"/>
        <v>0</v>
      </c>
      <c r="AL102" s="99">
        <f t="shared" si="131"/>
        <v>0</v>
      </c>
      <c r="AN102" s="101">
        <v>21</v>
      </c>
      <c r="AO102" s="101">
        <f>H102*0.00873563218390804</f>
        <v>0</v>
      </c>
      <c r="AP102" s="101">
        <f>H102*(1-0.00873563218390804)</f>
        <v>0</v>
      </c>
      <c r="AQ102" s="100" t="s">
        <v>57</v>
      </c>
      <c r="AV102" s="101">
        <f t="shared" si="132"/>
        <v>0</v>
      </c>
      <c r="AW102" s="101">
        <f t="shared" si="133"/>
        <v>0</v>
      </c>
      <c r="AX102" s="101">
        <f t="shared" si="134"/>
        <v>0</v>
      </c>
      <c r="AY102" s="102" t="s">
        <v>369</v>
      </c>
      <c r="AZ102" s="102" t="s">
        <v>380</v>
      </c>
      <c r="BA102" s="93" t="s">
        <v>395</v>
      </c>
      <c r="BC102" s="101">
        <f t="shared" si="135"/>
        <v>0</v>
      </c>
      <c r="BD102" s="101">
        <f t="shared" si="136"/>
        <v>0</v>
      </c>
      <c r="BE102" s="101">
        <v>0</v>
      </c>
      <c r="BF102" s="101">
        <f>102</f>
        <v>102</v>
      </c>
      <c r="BH102" s="99">
        <f t="shared" si="137"/>
        <v>0</v>
      </c>
      <c r="BI102" s="99">
        <f t="shared" si="138"/>
        <v>0</v>
      </c>
      <c r="BJ102" s="99">
        <f t="shared" si="139"/>
        <v>0</v>
      </c>
    </row>
    <row r="103" spans="1:62" ht="12.75">
      <c r="A103" s="13" t="s">
        <v>130</v>
      </c>
      <c r="B103" s="13" t="s">
        <v>201</v>
      </c>
      <c r="C103" s="48" t="s">
        <v>279</v>
      </c>
      <c r="D103" s="49"/>
      <c r="E103" s="49"/>
      <c r="F103" s="13" t="s">
        <v>327</v>
      </c>
      <c r="G103" s="23">
        <v>279</v>
      </c>
      <c r="H103" s="99">
        <v>0</v>
      </c>
      <c r="I103" s="99">
        <f t="shared" si="118"/>
        <v>0</v>
      </c>
      <c r="J103" s="99">
        <f t="shared" si="119"/>
        <v>0</v>
      </c>
      <c r="K103" s="99">
        <f t="shared" si="120"/>
        <v>0</v>
      </c>
      <c r="L103" s="100"/>
      <c r="Z103" s="101">
        <f t="shared" si="121"/>
        <v>0</v>
      </c>
      <c r="AB103" s="101">
        <f t="shared" si="122"/>
        <v>0</v>
      </c>
      <c r="AC103" s="101">
        <f t="shared" si="123"/>
        <v>0</v>
      </c>
      <c r="AD103" s="101">
        <f t="shared" si="124"/>
        <v>0</v>
      </c>
      <c r="AE103" s="101">
        <f t="shared" si="125"/>
        <v>0</v>
      </c>
      <c r="AF103" s="101">
        <f t="shared" si="126"/>
        <v>0</v>
      </c>
      <c r="AG103" s="101">
        <f t="shared" si="127"/>
        <v>0</v>
      </c>
      <c r="AH103" s="101">
        <f t="shared" si="128"/>
        <v>0</v>
      </c>
      <c r="AI103" s="93" t="s">
        <v>362</v>
      </c>
      <c r="AJ103" s="99">
        <f t="shared" si="129"/>
        <v>0</v>
      </c>
      <c r="AK103" s="99">
        <f t="shared" si="130"/>
        <v>0</v>
      </c>
      <c r="AL103" s="99">
        <f t="shared" si="131"/>
        <v>0</v>
      </c>
      <c r="AN103" s="101">
        <v>21</v>
      </c>
      <c r="AO103" s="101">
        <f>H103*0</f>
        <v>0</v>
      </c>
      <c r="AP103" s="101">
        <f>H103*(1-0)</f>
        <v>0</v>
      </c>
      <c r="AQ103" s="100" t="s">
        <v>57</v>
      </c>
      <c r="AV103" s="101">
        <f t="shared" si="132"/>
        <v>0</v>
      </c>
      <c r="AW103" s="101">
        <f t="shared" si="133"/>
        <v>0</v>
      </c>
      <c r="AX103" s="101">
        <f t="shared" si="134"/>
        <v>0</v>
      </c>
      <c r="AY103" s="102" t="s">
        <v>369</v>
      </c>
      <c r="AZ103" s="102" t="s">
        <v>380</v>
      </c>
      <c r="BA103" s="93" t="s">
        <v>395</v>
      </c>
      <c r="BC103" s="101">
        <f t="shared" si="135"/>
        <v>0</v>
      </c>
      <c r="BD103" s="101">
        <f t="shared" si="136"/>
        <v>0</v>
      </c>
      <c r="BE103" s="101">
        <v>0</v>
      </c>
      <c r="BF103" s="101">
        <f>103</f>
        <v>103</v>
      </c>
      <c r="BH103" s="99">
        <f t="shared" si="137"/>
        <v>0</v>
      </c>
      <c r="BI103" s="99">
        <f t="shared" si="138"/>
        <v>0</v>
      </c>
      <c r="BJ103" s="99">
        <f t="shared" si="139"/>
        <v>0</v>
      </c>
    </row>
    <row r="104" spans="1:62" ht="12.75">
      <c r="A104" s="13" t="s">
        <v>131</v>
      </c>
      <c r="B104" s="13" t="s">
        <v>202</v>
      </c>
      <c r="C104" s="48" t="s">
        <v>294</v>
      </c>
      <c r="D104" s="49"/>
      <c r="E104" s="49"/>
      <c r="F104" s="13" t="s">
        <v>323</v>
      </c>
      <c r="G104" s="23">
        <v>279</v>
      </c>
      <c r="H104" s="99">
        <v>0</v>
      </c>
      <c r="I104" s="99">
        <f t="shared" si="118"/>
        <v>0</v>
      </c>
      <c r="J104" s="99">
        <f t="shared" si="119"/>
        <v>0</v>
      </c>
      <c r="K104" s="99">
        <f t="shared" si="120"/>
        <v>0</v>
      </c>
      <c r="L104" s="100" t="s">
        <v>346</v>
      </c>
      <c r="Z104" s="101">
        <f t="shared" si="121"/>
        <v>0</v>
      </c>
      <c r="AB104" s="101">
        <f t="shared" si="122"/>
        <v>0</v>
      </c>
      <c r="AC104" s="101">
        <f t="shared" si="123"/>
        <v>0</v>
      </c>
      <c r="AD104" s="101">
        <f t="shared" si="124"/>
        <v>0</v>
      </c>
      <c r="AE104" s="101">
        <f t="shared" si="125"/>
        <v>0</v>
      </c>
      <c r="AF104" s="101">
        <f t="shared" si="126"/>
        <v>0</v>
      </c>
      <c r="AG104" s="101">
        <f t="shared" si="127"/>
        <v>0</v>
      </c>
      <c r="AH104" s="101">
        <f t="shared" si="128"/>
        <v>0</v>
      </c>
      <c r="AI104" s="93" t="s">
        <v>362</v>
      </c>
      <c r="AJ104" s="99">
        <f t="shared" si="129"/>
        <v>0</v>
      </c>
      <c r="AK104" s="99">
        <f t="shared" si="130"/>
        <v>0</v>
      </c>
      <c r="AL104" s="99">
        <f t="shared" si="131"/>
        <v>0</v>
      </c>
      <c r="AN104" s="101">
        <v>21</v>
      </c>
      <c r="AO104" s="101">
        <f>H104*0.152123959021697</f>
        <v>0</v>
      </c>
      <c r="AP104" s="101">
        <f>H104*(1-0.152123959021697)</f>
        <v>0</v>
      </c>
      <c r="AQ104" s="100" t="s">
        <v>57</v>
      </c>
      <c r="AV104" s="101">
        <f t="shared" si="132"/>
        <v>0</v>
      </c>
      <c r="AW104" s="101">
        <f t="shared" si="133"/>
        <v>0</v>
      </c>
      <c r="AX104" s="101">
        <f t="shared" si="134"/>
        <v>0</v>
      </c>
      <c r="AY104" s="102" t="s">
        <v>369</v>
      </c>
      <c r="AZ104" s="102" t="s">
        <v>380</v>
      </c>
      <c r="BA104" s="93" t="s">
        <v>395</v>
      </c>
      <c r="BC104" s="101">
        <f t="shared" si="135"/>
        <v>0</v>
      </c>
      <c r="BD104" s="101">
        <f t="shared" si="136"/>
        <v>0</v>
      </c>
      <c r="BE104" s="101">
        <v>0</v>
      </c>
      <c r="BF104" s="101">
        <f>104</f>
        <v>104</v>
      </c>
      <c r="BH104" s="99">
        <f t="shared" si="137"/>
        <v>0</v>
      </c>
      <c r="BI104" s="99">
        <f t="shared" si="138"/>
        <v>0</v>
      </c>
      <c r="BJ104" s="99">
        <f t="shared" si="139"/>
        <v>0</v>
      </c>
    </row>
    <row r="105" spans="1:62" ht="12.75">
      <c r="A105" s="13" t="s">
        <v>132</v>
      </c>
      <c r="B105" s="13" t="s">
        <v>203</v>
      </c>
      <c r="C105" s="48" t="s">
        <v>281</v>
      </c>
      <c r="D105" s="49"/>
      <c r="E105" s="49"/>
      <c r="F105" s="13" t="s">
        <v>323</v>
      </c>
      <c r="G105" s="23">
        <v>279</v>
      </c>
      <c r="H105" s="99">
        <v>0</v>
      </c>
      <c r="I105" s="99">
        <f t="shared" si="118"/>
        <v>0</v>
      </c>
      <c r="J105" s="99">
        <f t="shared" si="119"/>
        <v>0</v>
      </c>
      <c r="K105" s="99">
        <f t="shared" si="120"/>
        <v>0</v>
      </c>
      <c r="L105" s="100" t="s">
        <v>346</v>
      </c>
      <c r="Z105" s="101">
        <f t="shared" si="121"/>
        <v>0</v>
      </c>
      <c r="AB105" s="101">
        <f t="shared" si="122"/>
        <v>0</v>
      </c>
      <c r="AC105" s="101">
        <f t="shared" si="123"/>
        <v>0</v>
      </c>
      <c r="AD105" s="101">
        <f t="shared" si="124"/>
        <v>0</v>
      </c>
      <c r="AE105" s="101">
        <f t="shared" si="125"/>
        <v>0</v>
      </c>
      <c r="AF105" s="101">
        <f t="shared" si="126"/>
        <v>0</v>
      </c>
      <c r="AG105" s="101">
        <f t="shared" si="127"/>
        <v>0</v>
      </c>
      <c r="AH105" s="101">
        <f t="shared" si="128"/>
        <v>0</v>
      </c>
      <c r="AI105" s="93" t="s">
        <v>362</v>
      </c>
      <c r="AJ105" s="99">
        <f t="shared" si="129"/>
        <v>0</v>
      </c>
      <c r="AK105" s="99">
        <f t="shared" si="130"/>
        <v>0</v>
      </c>
      <c r="AL105" s="99">
        <f t="shared" si="131"/>
        <v>0</v>
      </c>
      <c r="AN105" s="101">
        <v>21</v>
      </c>
      <c r="AO105" s="101">
        <f>H105*0.508673469387755</f>
        <v>0</v>
      </c>
      <c r="AP105" s="101">
        <f>H105*(1-0.508673469387755)</f>
        <v>0</v>
      </c>
      <c r="AQ105" s="100" t="s">
        <v>57</v>
      </c>
      <c r="AV105" s="101">
        <f t="shared" si="132"/>
        <v>0</v>
      </c>
      <c r="AW105" s="101">
        <f t="shared" si="133"/>
        <v>0</v>
      </c>
      <c r="AX105" s="101">
        <f t="shared" si="134"/>
        <v>0</v>
      </c>
      <c r="AY105" s="102" t="s">
        <v>369</v>
      </c>
      <c r="AZ105" s="102" t="s">
        <v>380</v>
      </c>
      <c r="BA105" s="93" t="s">
        <v>395</v>
      </c>
      <c r="BC105" s="101">
        <f t="shared" si="135"/>
        <v>0</v>
      </c>
      <c r="BD105" s="101">
        <f t="shared" si="136"/>
        <v>0</v>
      </c>
      <c r="BE105" s="101">
        <v>0</v>
      </c>
      <c r="BF105" s="101">
        <f>105</f>
        <v>105</v>
      </c>
      <c r="BH105" s="99">
        <f t="shared" si="137"/>
        <v>0</v>
      </c>
      <c r="BI105" s="99">
        <f t="shared" si="138"/>
        <v>0</v>
      </c>
      <c r="BJ105" s="99">
        <f t="shared" si="139"/>
        <v>0</v>
      </c>
    </row>
    <row r="106" spans="1:62" ht="12.75">
      <c r="A106" s="13" t="s">
        <v>133</v>
      </c>
      <c r="B106" s="13" t="s">
        <v>204</v>
      </c>
      <c r="C106" s="48" t="s">
        <v>282</v>
      </c>
      <c r="D106" s="49"/>
      <c r="E106" s="49"/>
      <c r="F106" s="13" t="s">
        <v>324</v>
      </c>
      <c r="G106" s="23">
        <v>28</v>
      </c>
      <c r="H106" s="99">
        <v>0</v>
      </c>
      <c r="I106" s="99">
        <f t="shared" si="118"/>
        <v>0</v>
      </c>
      <c r="J106" s="99">
        <f t="shared" si="119"/>
        <v>0</v>
      </c>
      <c r="K106" s="99">
        <f t="shared" si="120"/>
        <v>0</v>
      </c>
      <c r="L106" s="100" t="s">
        <v>346</v>
      </c>
      <c r="Z106" s="101">
        <f t="shared" si="121"/>
        <v>0</v>
      </c>
      <c r="AB106" s="101">
        <f t="shared" si="122"/>
        <v>0</v>
      </c>
      <c r="AC106" s="101">
        <f t="shared" si="123"/>
        <v>0</v>
      </c>
      <c r="AD106" s="101">
        <f t="shared" si="124"/>
        <v>0</v>
      </c>
      <c r="AE106" s="101">
        <f t="shared" si="125"/>
        <v>0</v>
      </c>
      <c r="AF106" s="101">
        <f t="shared" si="126"/>
        <v>0</v>
      </c>
      <c r="AG106" s="101">
        <f t="shared" si="127"/>
        <v>0</v>
      </c>
      <c r="AH106" s="101">
        <f t="shared" si="128"/>
        <v>0</v>
      </c>
      <c r="AI106" s="93" t="s">
        <v>362</v>
      </c>
      <c r="AJ106" s="99">
        <f t="shared" si="129"/>
        <v>0</v>
      </c>
      <c r="AK106" s="99">
        <f t="shared" si="130"/>
        <v>0</v>
      </c>
      <c r="AL106" s="99">
        <f t="shared" si="131"/>
        <v>0</v>
      </c>
      <c r="AN106" s="101">
        <v>21</v>
      </c>
      <c r="AO106" s="101">
        <f>H106*0</f>
        <v>0</v>
      </c>
      <c r="AP106" s="101">
        <f>H106*(1-0)</f>
        <v>0</v>
      </c>
      <c r="AQ106" s="100" t="s">
        <v>57</v>
      </c>
      <c r="AV106" s="101">
        <f t="shared" si="132"/>
        <v>0</v>
      </c>
      <c r="AW106" s="101">
        <f t="shared" si="133"/>
        <v>0</v>
      </c>
      <c r="AX106" s="101">
        <f t="shared" si="134"/>
        <v>0</v>
      </c>
      <c r="AY106" s="102" t="s">
        <v>369</v>
      </c>
      <c r="AZ106" s="102" t="s">
        <v>380</v>
      </c>
      <c r="BA106" s="93" t="s">
        <v>395</v>
      </c>
      <c r="BC106" s="101">
        <f t="shared" si="135"/>
        <v>0</v>
      </c>
      <c r="BD106" s="101">
        <f t="shared" si="136"/>
        <v>0</v>
      </c>
      <c r="BE106" s="101">
        <v>0</v>
      </c>
      <c r="BF106" s="101">
        <f>106</f>
        <v>106</v>
      </c>
      <c r="BH106" s="99">
        <f t="shared" si="137"/>
        <v>0</v>
      </c>
      <c r="BI106" s="99">
        <f t="shared" si="138"/>
        <v>0</v>
      </c>
      <c r="BJ106" s="99">
        <f t="shared" si="139"/>
        <v>0</v>
      </c>
    </row>
    <row r="107" spans="1:47" ht="12.75">
      <c r="A107" s="12"/>
      <c r="B107" s="20" t="s">
        <v>205</v>
      </c>
      <c r="C107" s="46" t="s">
        <v>283</v>
      </c>
      <c r="D107" s="47"/>
      <c r="E107" s="47"/>
      <c r="F107" s="12" t="s">
        <v>56</v>
      </c>
      <c r="G107" s="12" t="s">
        <v>56</v>
      </c>
      <c r="H107" s="97" t="s">
        <v>56</v>
      </c>
      <c r="I107" s="98">
        <f>SUM(I108:I108)</f>
        <v>0</v>
      </c>
      <c r="J107" s="98">
        <f>SUM(J108:J108)</f>
        <v>0</v>
      </c>
      <c r="K107" s="98">
        <f>SUM(K108:K108)</f>
        <v>0</v>
      </c>
      <c r="L107" s="93"/>
      <c r="AI107" s="93" t="s">
        <v>362</v>
      </c>
      <c r="AS107" s="98">
        <f>SUM(AJ108:AJ108)</f>
        <v>0</v>
      </c>
      <c r="AT107" s="98">
        <f>SUM(AK108:AK108)</f>
        <v>0</v>
      </c>
      <c r="AU107" s="98">
        <f>SUM(AL108:AL108)</f>
        <v>0</v>
      </c>
    </row>
    <row r="108" spans="1:62" ht="12.75">
      <c r="A108" s="13" t="s">
        <v>134</v>
      </c>
      <c r="B108" s="13" t="s">
        <v>206</v>
      </c>
      <c r="C108" s="48" t="s">
        <v>284</v>
      </c>
      <c r="D108" s="49"/>
      <c r="E108" s="49"/>
      <c r="F108" s="13" t="s">
        <v>328</v>
      </c>
      <c r="G108" s="23">
        <v>17.3</v>
      </c>
      <c r="H108" s="99">
        <v>0</v>
      </c>
      <c r="I108" s="99">
        <f>G108*AO108</f>
        <v>0</v>
      </c>
      <c r="J108" s="99">
        <f>G108*AP108</f>
        <v>0</v>
      </c>
      <c r="K108" s="99">
        <f>G108*H108</f>
        <v>0</v>
      </c>
      <c r="L108" s="100" t="s">
        <v>346</v>
      </c>
      <c r="Z108" s="101">
        <f>IF(AQ108="5",BJ108,0)</f>
        <v>0</v>
      </c>
      <c r="AB108" s="101">
        <f>IF(AQ108="1",BH108,0)</f>
        <v>0</v>
      </c>
      <c r="AC108" s="101">
        <f>IF(AQ108="1",BI108,0)</f>
        <v>0</v>
      </c>
      <c r="AD108" s="101">
        <f>IF(AQ108="7",BH108,0)</f>
        <v>0</v>
      </c>
      <c r="AE108" s="101">
        <f>IF(AQ108="7",BI108,0)</f>
        <v>0</v>
      </c>
      <c r="AF108" s="101">
        <f>IF(AQ108="2",BH108,0)</f>
        <v>0</v>
      </c>
      <c r="AG108" s="101">
        <f>IF(AQ108="2",BI108,0)</f>
        <v>0</v>
      </c>
      <c r="AH108" s="101">
        <f>IF(AQ108="0",BJ108,0)</f>
        <v>0</v>
      </c>
      <c r="AI108" s="93" t="s">
        <v>362</v>
      </c>
      <c r="AJ108" s="99">
        <f>IF(AN108=0,K108,0)</f>
        <v>0</v>
      </c>
      <c r="AK108" s="99">
        <f>IF(AN108=15,K108,0)</f>
        <v>0</v>
      </c>
      <c r="AL108" s="99">
        <f>IF(AN108=21,K108,0)</f>
        <v>0</v>
      </c>
      <c r="AN108" s="101">
        <v>21</v>
      </c>
      <c r="AO108" s="101">
        <f>H108*0</f>
        <v>0</v>
      </c>
      <c r="AP108" s="101">
        <f>H108*(1-0)</f>
        <v>0</v>
      </c>
      <c r="AQ108" s="100" t="s">
        <v>61</v>
      </c>
      <c r="AV108" s="101">
        <f>AW108+AX108</f>
        <v>0</v>
      </c>
      <c r="AW108" s="101">
        <f>G108*AO108</f>
        <v>0</v>
      </c>
      <c r="AX108" s="101">
        <f>G108*AP108</f>
        <v>0</v>
      </c>
      <c r="AY108" s="102" t="s">
        <v>370</v>
      </c>
      <c r="AZ108" s="102" t="s">
        <v>381</v>
      </c>
      <c r="BA108" s="93" t="s">
        <v>395</v>
      </c>
      <c r="BC108" s="101">
        <f>AW108+AX108</f>
        <v>0</v>
      </c>
      <c r="BD108" s="101">
        <f>H108/(100-BE108)*100</f>
        <v>0</v>
      </c>
      <c r="BE108" s="101">
        <v>0</v>
      </c>
      <c r="BF108" s="101">
        <f>108</f>
        <v>108</v>
      </c>
      <c r="BH108" s="99">
        <f>G108*AO108</f>
        <v>0</v>
      </c>
      <c r="BI108" s="99">
        <f>G108*AP108</f>
        <v>0</v>
      </c>
      <c r="BJ108" s="99">
        <f>G108*H108</f>
        <v>0</v>
      </c>
    </row>
    <row r="109" spans="1:47" ht="12.75">
      <c r="A109" s="12"/>
      <c r="B109" s="20"/>
      <c r="C109" s="46" t="s">
        <v>10</v>
      </c>
      <c r="D109" s="47"/>
      <c r="E109" s="47"/>
      <c r="F109" s="12" t="s">
        <v>56</v>
      </c>
      <c r="G109" s="12" t="s">
        <v>56</v>
      </c>
      <c r="H109" s="97" t="s">
        <v>56</v>
      </c>
      <c r="I109" s="98">
        <f>SUM(I110:I122)</f>
        <v>0</v>
      </c>
      <c r="J109" s="98">
        <f>SUM(J110:J122)</f>
        <v>0</v>
      </c>
      <c r="K109" s="98">
        <f>SUM(K110:K122)</f>
        <v>0</v>
      </c>
      <c r="L109" s="93"/>
      <c r="AI109" s="93" t="s">
        <v>362</v>
      </c>
      <c r="AS109" s="98">
        <f>SUM(AJ110:AJ122)</f>
        <v>0</v>
      </c>
      <c r="AT109" s="98">
        <f>SUM(AK110:AK122)</f>
        <v>0</v>
      </c>
      <c r="AU109" s="98">
        <f>SUM(AL110:AL122)</f>
        <v>0</v>
      </c>
    </row>
    <row r="110" spans="1:62" ht="12.75">
      <c r="A110" s="15" t="s">
        <v>135</v>
      </c>
      <c r="B110" s="15" t="s">
        <v>207</v>
      </c>
      <c r="C110" s="55" t="s">
        <v>285</v>
      </c>
      <c r="D110" s="53"/>
      <c r="E110" s="53"/>
      <c r="F110" s="15" t="s">
        <v>327</v>
      </c>
      <c r="G110" s="24">
        <v>3348</v>
      </c>
      <c r="H110" s="108">
        <v>0</v>
      </c>
      <c r="I110" s="108">
        <f aca="true" t="shared" si="140" ref="I110:I122">G110*AO110</f>
        <v>0</v>
      </c>
      <c r="J110" s="108">
        <f aca="true" t="shared" si="141" ref="J110:J122">G110*AP110</f>
        <v>0</v>
      </c>
      <c r="K110" s="108">
        <f aca="true" t="shared" si="142" ref="K110:K122">G110*H110</f>
        <v>0</v>
      </c>
      <c r="L110" s="109"/>
      <c r="Z110" s="101">
        <f aca="true" t="shared" si="143" ref="Z110:Z122">IF(AQ110="5",BJ110,0)</f>
        <v>0</v>
      </c>
      <c r="AB110" s="101">
        <f aca="true" t="shared" si="144" ref="AB110:AB122">IF(AQ110="1",BH110,0)</f>
        <v>0</v>
      </c>
      <c r="AC110" s="101">
        <f aca="true" t="shared" si="145" ref="AC110:AC122">IF(AQ110="1",BI110,0)</f>
        <v>0</v>
      </c>
      <c r="AD110" s="101">
        <f aca="true" t="shared" si="146" ref="AD110:AD122">IF(AQ110="7",BH110,0)</f>
        <v>0</v>
      </c>
      <c r="AE110" s="101">
        <f aca="true" t="shared" si="147" ref="AE110:AE122">IF(AQ110="7",BI110,0)</f>
        <v>0</v>
      </c>
      <c r="AF110" s="101">
        <f aca="true" t="shared" si="148" ref="AF110:AF122">IF(AQ110="2",BH110,0)</f>
        <v>0</v>
      </c>
      <c r="AG110" s="101">
        <f aca="true" t="shared" si="149" ref="AG110:AG122">IF(AQ110="2",BI110,0)</f>
        <v>0</v>
      </c>
      <c r="AH110" s="101">
        <f aca="true" t="shared" si="150" ref="AH110:AH122">IF(AQ110="0",BJ110,0)</f>
        <v>0</v>
      </c>
      <c r="AI110" s="93" t="s">
        <v>362</v>
      </c>
      <c r="AJ110" s="108">
        <f aca="true" t="shared" si="151" ref="AJ110:AJ122">IF(AN110=0,K110,0)</f>
        <v>0</v>
      </c>
      <c r="AK110" s="108">
        <f aca="true" t="shared" si="152" ref="AK110:AK122">IF(AN110=15,K110,0)</f>
        <v>0</v>
      </c>
      <c r="AL110" s="108">
        <f aca="true" t="shared" si="153" ref="AL110:AL122">IF(AN110=21,K110,0)</f>
        <v>0</v>
      </c>
      <c r="AN110" s="101">
        <v>21</v>
      </c>
      <c r="AO110" s="101">
        <f aca="true" t="shared" si="154" ref="AO110:AO122">H110*1</f>
        <v>0</v>
      </c>
      <c r="AP110" s="101">
        <f aca="true" t="shared" si="155" ref="AP110:AP122">H110*(1-1)</f>
        <v>0</v>
      </c>
      <c r="AQ110" s="109" t="s">
        <v>365</v>
      </c>
      <c r="AV110" s="101">
        <f aca="true" t="shared" si="156" ref="AV110:AV122">AW110+AX110</f>
        <v>0</v>
      </c>
      <c r="AW110" s="101">
        <f aca="true" t="shared" si="157" ref="AW110:AW122">G110*AO110</f>
        <v>0</v>
      </c>
      <c r="AX110" s="101">
        <f aca="true" t="shared" si="158" ref="AX110:AX122">G110*AP110</f>
        <v>0</v>
      </c>
      <c r="AY110" s="102" t="s">
        <v>371</v>
      </c>
      <c r="AZ110" s="102" t="s">
        <v>382</v>
      </c>
      <c r="BA110" s="93" t="s">
        <v>395</v>
      </c>
      <c r="BC110" s="101">
        <f aca="true" t="shared" si="159" ref="BC110:BC122">AW110+AX110</f>
        <v>0</v>
      </c>
      <c r="BD110" s="101">
        <f aca="true" t="shared" si="160" ref="BD110:BD122">H110/(100-BE110)*100</f>
        <v>0</v>
      </c>
      <c r="BE110" s="101">
        <v>0</v>
      </c>
      <c r="BF110" s="101">
        <f>110</f>
        <v>110</v>
      </c>
      <c r="BH110" s="108">
        <f aca="true" t="shared" si="161" ref="BH110:BH122">G110*AO110</f>
        <v>0</v>
      </c>
      <c r="BI110" s="108">
        <f aca="true" t="shared" si="162" ref="BI110:BI122">G110*AP110</f>
        <v>0</v>
      </c>
      <c r="BJ110" s="108">
        <f aca="true" t="shared" si="163" ref="BJ110:BJ122">G110*H110</f>
        <v>0</v>
      </c>
    </row>
    <row r="111" spans="1:62" ht="12.75">
      <c r="A111" s="15" t="s">
        <v>136</v>
      </c>
      <c r="B111" s="15" t="s">
        <v>208</v>
      </c>
      <c r="C111" s="55" t="s">
        <v>286</v>
      </c>
      <c r="D111" s="53"/>
      <c r="E111" s="53"/>
      <c r="F111" s="15" t="s">
        <v>329</v>
      </c>
      <c r="G111" s="24">
        <v>419</v>
      </c>
      <c r="H111" s="108">
        <v>0</v>
      </c>
      <c r="I111" s="108">
        <f t="shared" si="140"/>
        <v>0</v>
      </c>
      <c r="J111" s="108">
        <f t="shared" si="141"/>
        <v>0</v>
      </c>
      <c r="K111" s="108">
        <f t="shared" si="142"/>
        <v>0</v>
      </c>
      <c r="L111" s="109"/>
      <c r="Z111" s="101">
        <f t="shared" si="143"/>
        <v>0</v>
      </c>
      <c r="AB111" s="101">
        <f t="shared" si="144"/>
        <v>0</v>
      </c>
      <c r="AC111" s="101">
        <f t="shared" si="145"/>
        <v>0</v>
      </c>
      <c r="AD111" s="101">
        <f t="shared" si="146"/>
        <v>0</v>
      </c>
      <c r="AE111" s="101">
        <f t="shared" si="147"/>
        <v>0</v>
      </c>
      <c r="AF111" s="101">
        <f t="shared" si="148"/>
        <v>0</v>
      </c>
      <c r="AG111" s="101">
        <f t="shared" si="149"/>
        <v>0</v>
      </c>
      <c r="AH111" s="101">
        <f t="shared" si="150"/>
        <v>0</v>
      </c>
      <c r="AI111" s="93" t="s">
        <v>362</v>
      </c>
      <c r="AJ111" s="108">
        <f t="shared" si="151"/>
        <v>0</v>
      </c>
      <c r="AK111" s="108">
        <f t="shared" si="152"/>
        <v>0</v>
      </c>
      <c r="AL111" s="108">
        <f t="shared" si="153"/>
        <v>0</v>
      </c>
      <c r="AN111" s="101">
        <v>21</v>
      </c>
      <c r="AO111" s="101">
        <f t="shared" si="154"/>
        <v>0</v>
      </c>
      <c r="AP111" s="101">
        <f t="shared" si="155"/>
        <v>0</v>
      </c>
      <c r="AQ111" s="109" t="s">
        <v>365</v>
      </c>
      <c r="AV111" s="101">
        <f t="shared" si="156"/>
        <v>0</v>
      </c>
      <c r="AW111" s="101">
        <f t="shared" si="157"/>
        <v>0</v>
      </c>
      <c r="AX111" s="101">
        <f t="shared" si="158"/>
        <v>0</v>
      </c>
      <c r="AY111" s="102" t="s">
        <v>371</v>
      </c>
      <c r="AZ111" s="102" t="s">
        <v>382</v>
      </c>
      <c r="BA111" s="93" t="s">
        <v>395</v>
      </c>
      <c r="BC111" s="101">
        <f t="shared" si="159"/>
        <v>0</v>
      </c>
      <c r="BD111" s="101">
        <f t="shared" si="160"/>
        <v>0</v>
      </c>
      <c r="BE111" s="101">
        <v>0</v>
      </c>
      <c r="BF111" s="101">
        <f>111</f>
        <v>111</v>
      </c>
      <c r="BH111" s="108">
        <f t="shared" si="161"/>
        <v>0</v>
      </c>
      <c r="BI111" s="108">
        <f t="shared" si="162"/>
        <v>0</v>
      </c>
      <c r="BJ111" s="108">
        <f t="shared" si="163"/>
        <v>0</v>
      </c>
    </row>
    <row r="112" spans="1:62" ht="12.75">
      <c r="A112" s="15" t="s">
        <v>137</v>
      </c>
      <c r="B112" s="15" t="s">
        <v>209</v>
      </c>
      <c r="C112" s="55" t="s">
        <v>295</v>
      </c>
      <c r="D112" s="53"/>
      <c r="E112" s="53"/>
      <c r="F112" s="15" t="s">
        <v>327</v>
      </c>
      <c r="G112" s="24">
        <v>837</v>
      </c>
      <c r="H112" s="108">
        <v>0</v>
      </c>
      <c r="I112" s="108">
        <f t="shared" si="140"/>
        <v>0</v>
      </c>
      <c r="J112" s="108">
        <f t="shared" si="141"/>
        <v>0</v>
      </c>
      <c r="K112" s="108">
        <f t="shared" si="142"/>
        <v>0</v>
      </c>
      <c r="L112" s="109"/>
      <c r="Z112" s="101">
        <f t="shared" si="143"/>
        <v>0</v>
      </c>
      <c r="AB112" s="101">
        <f t="shared" si="144"/>
        <v>0</v>
      </c>
      <c r="AC112" s="101">
        <f t="shared" si="145"/>
        <v>0</v>
      </c>
      <c r="AD112" s="101">
        <f t="shared" si="146"/>
        <v>0</v>
      </c>
      <c r="AE112" s="101">
        <f t="shared" si="147"/>
        <v>0</v>
      </c>
      <c r="AF112" s="101">
        <f t="shared" si="148"/>
        <v>0</v>
      </c>
      <c r="AG112" s="101">
        <f t="shared" si="149"/>
        <v>0</v>
      </c>
      <c r="AH112" s="101">
        <f t="shared" si="150"/>
        <v>0</v>
      </c>
      <c r="AI112" s="93" t="s">
        <v>362</v>
      </c>
      <c r="AJ112" s="108">
        <f t="shared" si="151"/>
        <v>0</v>
      </c>
      <c r="AK112" s="108">
        <f t="shared" si="152"/>
        <v>0</v>
      </c>
      <c r="AL112" s="108">
        <f t="shared" si="153"/>
        <v>0</v>
      </c>
      <c r="AN112" s="101">
        <v>21</v>
      </c>
      <c r="AO112" s="101">
        <f t="shared" si="154"/>
        <v>0</v>
      </c>
      <c r="AP112" s="101">
        <f t="shared" si="155"/>
        <v>0</v>
      </c>
      <c r="AQ112" s="109" t="s">
        <v>365</v>
      </c>
      <c r="AV112" s="101">
        <f t="shared" si="156"/>
        <v>0</v>
      </c>
      <c r="AW112" s="101">
        <f t="shared" si="157"/>
        <v>0</v>
      </c>
      <c r="AX112" s="101">
        <f t="shared" si="158"/>
        <v>0</v>
      </c>
      <c r="AY112" s="102" t="s">
        <v>371</v>
      </c>
      <c r="AZ112" s="102" t="s">
        <v>382</v>
      </c>
      <c r="BA112" s="93" t="s">
        <v>395</v>
      </c>
      <c r="BC112" s="101">
        <f t="shared" si="159"/>
        <v>0</v>
      </c>
      <c r="BD112" s="101">
        <f t="shared" si="160"/>
        <v>0</v>
      </c>
      <c r="BE112" s="101">
        <v>0</v>
      </c>
      <c r="BF112" s="101">
        <f>112</f>
        <v>112</v>
      </c>
      <c r="BH112" s="108">
        <f t="shared" si="161"/>
        <v>0</v>
      </c>
      <c r="BI112" s="108">
        <f t="shared" si="162"/>
        <v>0</v>
      </c>
      <c r="BJ112" s="108">
        <f t="shared" si="163"/>
        <v>0</v>
      </c>
    </row>
    <row r="113" spans="1:62" ht="12.75">
      <c r="A113" s="15" t="s">
        <v>138</v>
      </c>
      <c r="B113" s="15" t="s">
        <v>210</v>
      </c>
      <c r="C113" s="55" t="s">
        <v>288</v>
      </c>
      <c r="D113" s="53"/>
      <c r="E113" s="53"/>
      <c r="F113" s="15" t="s">
        <v>327</v>
      </c>
      <c r="G113" s="24">
        <v>837</v>
      </c>
      <c r="H113" s="108">
        <v>0</v>
      </c>
      <c r="I113" s="108">
        <f t="shared" si="140"/>
        <v>0</v>
      </c>
      <c r="J113" s="108">
        <f t="shared" si="141"/>
        <v>0</v>
      </c>
      <c r="K113" s="108">
        <f t="shared" si="142"/>
        <v>0</v>
      </c>
      <c r="L113" s="109"/>
      <c r="Z113" s="101">
        <f t="shared" si="143"/>
        <v>0</v>
      </c>
      <c r="AB113" s="101">
        <f t="shared" si="144"/>
        <v>0</v>
      </c>
      <c r="AC113" s="101">
        <f t="shared" si="145"/>
        <v>0</v>
      </c>
      <c r="AD113" s="101">
        <f t="shared" si="146"/>
        <v>0</v>
      </c>
      <c r="AE113" s="101">
        <f t="shared" si="147"/>
        <v>0</v>
      </c>
      <c r="AF113" s="101">
        <f t="shared" si="148"/>
        <v>0</v>
      </c>
      <c r="AG113" s="101">
        <f t="shared" si="149"/>
        <v>0</v>
      </c>
      <c r="AH113" s="101">
        <f t="shared" si="150"/>
        <v>0</v>
      </c>
      <c r="AI113" s="93" t="s">
        <v>362</v>
      </c>
      <c r="AJ113" s="108">
        <f t="shared" si="151"/>
        <v>0</v>
      </c>
      <c r="AK113" s="108">
        <f t="shared" si="152"/>
        <v>0</v>
      </c>
      <c r="AL113" s="108">
        <f t="shared" si="153"/>
        <v>0</v>
      </c>
      <c r="AN113" s="101">
        <v>21</v>
      </c>
      <c r="AO113" s="101">
        <f t="shared" si="154"/>
        <v>0</v>
      </c>
      <c r="AP113" s="101">
        <f t="shared" si="155"/>
        <v>0</v>
      </c>
      <c r="AQ113" s="109" t="s">
        <v>365</v>
      </c>
      <c r="AV113" s="101">
        <f t="shared" si="156"/>
        <v>0</v>
      </c>
      <c r="AW113" s="101">
        <f t="shared" si="157"/>
        <v>0</v>
      </c>
      <c r="AX113" s="101">
        <f t="shared" si="158"/>
        <v>0</v>
      </c>
      <c r="AY113" s="102" t="s">
        <v>371</v>
      </c>
      <c r="AZ113" s="102" t="s">
        <v>382</v>
      </c>
      <c r="BA113" s="93" t="s">
        <v>395</v>
      </c>
      <c r="BC113" s="101">
        <f t="shared" si="159"/>
        <v>0</v>
      </c>
      <c r="BD113" s="101">
        <f t="shared" si="160"/>
        <v>0</v>
      </c>
      <c r="BE113" s="101">
        <v>0</v>
      </c>
      <c r="BF113" s="101">
        <f>113</f>
        <v>113</v>
      </c>
      <c r="BH113" s="108">
        <f t="shared" si="161"/>
        <v>0</v>
      </c>
      <c r="BI113" s="108">
        <f t="shared" si="162"/>
        <v>0</v>
      </c>
      <c r="BJ113" s="108">
        <f t="shared" si="163"/>
        <v>0</v>
      </c>
    </row>
    <row r="114" spans="1:62" ht="12.75">
      <c r="A114" s="15" t="s">
        <v>139</v>
      </c>
      <c r="B114" s="15" t="s">
        <v>211</v>
      </c>
      <c r="C114" s="55" t="s">
        <v>289</v>
      </c>
      <c r="D114" s="53"/>
      <c r="E114" s="53"/>
      <c r="F114" s="15" t="s">
        <v>327</v>
      </c>
      <c r="G114" s="24">
        <v>837</v>
      </c>
      <c r="H114" s="108">
        <v>0</v>
      </c>
      <c r="I114" s="108">
        <f t="shared" si="140"/>
        <v>0</v>
      </c>
      <c r="J114" s="108">
        <f t="shared" si="141"/>
        <v>0</v>
      </c>
      <c r="K114" s="108">
        <f t="shared" si="142"/>
        <v>0</v>
      </c>
      <c r="L114" s="109"/>
      <c r="Z114" s="101">
        <f t="shared" si="143"/>
        <v>0</v>
      </c>
      <c r="AB114" s="101">
        <f t="shared" si="144"/>
        <v>0</v>
      </c>
      <c r="AC114" s="101">
        <f t="shared" si="145"/>
        <v>0</v>
      </c>
      <c r="AD114" s="101">
        <f t="shared" si="146"/>
        <v>0</v>
      </c>
      <c r="AE114" s="101">
        <f t="shared" si="147"/>
        <v>0</v>
      </c>
      <c r="AF114" s="101">
        <f t="shared" si="148"/>
        <v>0</v>
      </c>
      <c r="AG114" s="101">
        <f t="shared" si="149"/>
        <v>0</v>
      </c>
      <c r="AH114" s="101">
        <f t="shared" si="150"/>
        <v>0</v>
      </c>
      <c r="AI114" s="93" t="s">
        <v>362</v>
      </c>
      <c r="AJ114" s="108">
        <f t="shared" si="151"/>
        <v>0</v>
      </c>
      <c r="AK114" s="108">
        <f t="shared" si="152"/>
        <v>0</v>
      </c>
      <c r="AL114" s="108">
        <f t="shared" si="153"/>
        <v>0</v>
      </c>
      <c r="AN114" s="101">
        <v>21</v>
      </c>
      <c r="AO114" s="101">
        <f t="shared" si="154"/>
        <v>0</v>
      </c>
      <c r="AP114" s="101">
        <f t="shared" si="155"/>
        <v>0</v>
      </c>
      <c r="AQ114" s="109" t="s">
        <v>365</v>
      </c>
      <c r="AV114" s="101">
        <f t="shared" si="156"/>
        <v>0</v>
      </c>
      <c r="AW114" s="101">
        <f t="shared" si="157"/>
        <v>0</v>
      </c>
      <c r="AX114" s="101">
        <f t="shared" si="158"/>
        <v>0</v>
      </c>
      <c r="AY114" s="102" t="s">
        <v>371</v>
      </c>
      <c r="AZ114" s="102" t="s">
        <v>382</v>
      </c>
      <c r="BA114" s="93" t="s">
        <v>395</v>
      </c>
      <c r="BC114" s="101">
        <f t="shared" si="159"/>
        <v>0</v>
      </c>
      <c r="BD114" s="101">
        <f t="shared" si="160"/>
        <v>0</v>
      </c>
      <c r="BE114" s="101">
        <v>0</v>
      </c>
      <c r="BF114" s="101">
        <f>114</f>
        <v>114</v>
      </c>
      <c r="BH114" s="108">
        <f t="shared" si="161"/>
        <v>0</v>
      </c>
      <c r="BI114" s="108">
        <f t="shared" si="162"/>
        <v>0</v>
      </c>
      <c r="BJ114" s="108">
        <f t="shared" si="163"/>
        <v>0</v>
      </c>
    </row>
    <row r="115" spans="1:62" ht="12.75">
      <c r="A115" s="15" t="s">
        <v>140</v>
      </c>
      <c r="B115" s="15" t="s">
        <v>212</v>
      </c>
      <c r="C115" s="55" t="s">
        <v>296</v>
      </c>
      <c r="D115" s="53"/>
      <c r="E115" s="53"/>
      <c r="F115" s="15" t="s">
        <v>324</v>
      </c>
      <c r="G115" s="24">
        <v>28</v>
      </c>
      <c r="H115" s="108">
        <v>0</v>
      </c>
      <c r="I115" s="108">
        <f t="shared" si="140"/>
        <v>0</v>
      </c>
      <c r="J115" s="108">
        <f t="shared" si="141"/>
        <v>0</v>
      </c>
      <c r="K115" s="108">
        <f t="shared" si="142"/>
        <v>0</v>
      </c>
      <c r="L115" s="109" t="s">
        <v>345</v>
      </c>
      <c r="Z115" s="101">
        <f t="shared" si="143"/>
        <v>0</v>
      </c>
      <c r="AB115" s="101">
        <f t="shared" si="144"/>
        <v>0</v>
      </c>
      <c r="AC115" s="101">
        <f t="shared" si="145"/>
        <v>0</v>
      </c>
      <c r="AD115" s="101">
        <f t="shared" si="146"/>
        <v>0</v>
      </c>
      <c r="AE115" s="101">
        <f t="shared" si="147"/>
        <v>0</v>
      </c>
      <c r="AF115" s="101">
        <f t="shared" si="148"/>
        <v>0</v>
      </c>
      <c r="AG115" s="101">
        <f t="shared" si="149"/>
        <v>0</v>
      </c>
      <c r="AH115" s="101">
        <f t="shared" si="150"/>
        <v>0</v>
      </c>
      <c r="AI115" s="93" t="s">
        <v>362</v>
      </c>
      <c r="AJ115" s="108">
        <f t="shared" si="151"/>
        <v>0</v>
      </c>
      <c r="AK115" s="108">
        <f t="shared" si="152"/>
        <v>0</v>
      </c>
      <c r="AL115" s="108">
        <f t="shared" si="153"/>
        <v>0</v>
      </c>
      <c r="AN115" s="101">
        <v>21</v>
      </c>
      <c r="AO115" s="101">
        <f t="shared" si="154"/>
        <v>0</v>
      </c>
      <c r="AP115" s="101">
        <f t="shared" si="155"/>
        <v>0</v>
      </c>
      <c r="AQ115" s="109" t="s">
        <v>365</v>
      </c>
      <c r="AV115" s="101">
        <f t="shared" si="156"/>
        <v>0</v>
      </c>
      <c r="AW115" s="101">
        <f t="shared" si="157"/>
        <v>0</v>
      </c>
      <c r="AX115" s="101">
        <f t="shared" si="158"/>
        <v>0</v>
      </c>
      <c r="AY115" s="102" t="s">
        <v>371</v>
      </c>
      <c r="AZ115" s="102" t="s">
        <v>382</v>
      </c>
      <c r="BA115" s="93" t="s">
        <v>395</v>
      </c>
      <c r="BC115" s="101">
        <f t="shared" si="159"/>
        <v>0</v>
      </c>
      <c r="BD115" s="101">
        <f t="shared" si="160"/>
        <v>0</v>
      </c>
      <c r="BE115" s="101">
        <v>0</v>
      </c>
      <c r="BF115" s="101">
        <f>115</f>
        <v>115</v>
      </c>
      <c r="BH115" s="108">
        <f t="shared" si="161"/>
        <v>0</v>
      </c>
      <c r="BI115" s="108">
        <f t="shared" si="162"/>
        <v>0</v>
      </c>
      <c r="BJ115" s="108">
        <f t="shared" si="163"/>
        <v>0</v>
      </c>
    </row>
    <row r="116" spans="1:62" ht="12.75">
      <c r="A116" s="15" t="s">
        <v>141</v>
      </c>
      <c r="B116" s="15" t="s">
        <v>213</v>
      </c>
      <c r="C116" s="55" t="s">
        <v>297</v>
      </c>
      <c r="D116" s="53"/>
      <c r="E116" s="53"/>
      <c r="F116" s="15" t="s">
        <v>327</v>
      </c>
      <c r="G116" s="24">
        <v>13</v>
      </c>
      <c r="H116" s="108">
        <v>0</v>
      </c>
      <c r="I116" s="108">
        <f t="shared" si="140"/>
        <v>0</v>
      </c>
      <c r="J116" s="108">
        <f t="shared" si="141"/>
        <v>0</v>
      </c>
      <c r="K116" s="108">
        <f t="shared" si="142"/>
        <v>0</v>
      </c>
      <c r="L116" s="109"/>
      <c r="Z116" s="101">
        <f t="shared" si="143"/>
        <v>0</v>
      </c>
      <c r="AB116" s="101">
        <f t="shared" si="144"/>
        <v>0</v>
      </c>
      <c r="AC116" s="101">
        <f t="shared" si="145"/>
        <v>0</v>
      </c>
      <c r="AD116" s="101">
        <f t="shared" si="146"/>
        <v>0</v>
      </c>
      <c r="AE116" s="101">
        <f t="shared" si="147"/>
        <v>0</v>
      </c>
      <c r="AF116" s="101">
        <f t="shared" si="148"/>
        <v>0</v>
      </c>
      <c r="AG116" s="101">
        <f t="shared" si="149"/>
        <v>0</v>
      </c>
      <c r="AH116" s="101">
        <f t="shared" si="150"/>
        <v>0</v>
      </c>
      <c r="AI116" s="93" t="s">
        <v>362</v>
      </c>
      <c r="AJ116" s="108">
        <f t="shared" si="151"/>
        <v>0</v>
      </c>
      <c r="AK116" s="108">
        <f t="shared" si="152"/>
        <v>0</v>
      </c>
      <c r="AL116" s="108">
        <f t="shared" si="153"/>
        <v>0</v>
      </c>
      <c r="AN116" s="101">
        <v>21</v>
      </c>
      <c r="AO116" s="101">
        <f t="shared" si="154"/>
        <v>0</v>
      </c>
      <c r="AP116" s="101">
        <f t="shared" si="155"/>
        <v>0</v>
      </c>
      <c r="AQ116" s="109" t="s">
        <v>365</v>
      </c>
      <c r="AV116" s="101">
        <f t="shared" si="156"/>
        <v>0</v>
      </c>
      <c r="AW116" s="101">
        <f t="shared" si="157"/>
        <v>0</v>
      </c>
      <c r="AX116" s="101">
        <f t="shared" si="158"/>
        <v>0</v>
      </c>
      <c r="AY116" s="102" t="s">
        <v>371</v>
      </c>
      <c r="AZ116" s="102" t="s">
        <v>382</v>
      </c>
      <c r="BA116" s="93" t="s">
        <v>395</v>
      </c>
      <c r="BC116" s="101">
        <f t="shared" si="159"/>
        <v>0</v>
      </c>
      <c r="BD116" s="101">
        <f t="shared" si="160"/>
        <v>0</v>
      </c>
      <c r="BE116" s="101">
        <v>0</v>
      </c>
      <c r="BF116" s="101">
        <f>116</f>
        <v>116</v>
      </c>
      <c r="BH116" s="108">
        <f t="shared" si="161"/>
        <v>0</v>
      </c>
      <c r="BI116" s="108">
        <f t="shared" si="162"/>
        <v>0</v>
      </c>
      <c r="BJ116" s="108">
        <f t="shared" si="163"/>
        <v>0</v>
      </c>
    </row>
    <row r="117" spans="1:62" ht="12.75">
      <c r="A117" s="15" t="s">
        <v>142</v>
      </c>
      <c r="B117" s="15" t="s">
        <v>213</v>
      </c>
      <c r="C117" s="55" t="s">
        <v>298</v>
      </c>
      <c r="D117" s="53"/>
      <c r="E117" s="53"/>
      <c r="F117" s="15" t="s">
        <v>327</v>
      </c>
      <c r="G117" s="24">
        <v>3</v>
      </c>
      <c r="H117" s="108">
        <v>0</v>
      </c>
      <c r="I117" s="108">
        <f t="shared" si="140"/>
        <v>0</v>
      </c>
      <c r="J117" s="108">
        <f t="shared" si="141"/>
        <v>0</v>
      </c>
      <c r="K117" s="108">
        <f t="shared" si="142"/>
        <v>0</v>
      </c>
      <c r="L117" s="109"/>
      <c r="Z117" s="101">
        <f t="shared" si="143"/>
        <v>0</v>
      </c>
      <c r="AB117" s="101">
        <f t="shared" si="144"/>
        <v>0</v>
      </c>
      <c r="AC117" s="101">
        <f t="shared" si="145"/>
        <v>0</v>
      </c>
      <c r="AD117" s="101">
        <f t="shared" si="146"/>
        <v>0</v>
      </c>
      <c r="AE117" s="101">
        <f t="shared" si="147"/>
        <v>0</v>
      </c>
      <c r="AF117" s="101">
        <f t="shared" si="148"/>
        <v>0</v>
      </c>
      <c r="AG117" s="101">
        <f t="shared" si="149"/>
        <v>0</v>
      </c>
      <c r="AH117" s="101">
        <f t="shared" si="150"/>
        <v>0</v>
      </c>
      <c r="AI117" s="93" t="s">
        <v>362</v>
      </c>
      <c r="AJ117" s="108">
        <f t="shared" si="151"/>
        <v>0</v>
      </c>
      <c r="AK117" s="108">
        <f t="shared" si="152"/>
        <v>0</v>
      </c>
      <c r="AL117" s="108">
        <f t="shared" si="153"/>
        <v>0</v>
      </c>
      <c r="AN117" s="101">
        <v>21</v>
      </c>
      <c r="AO117" s="101">
        <f t="shared" si="154"/>
        <v>0</v>
      </c>
      <c r="AP117" s="101">
        <f t="shared" si="155"/>
        <v>0</v>
      </c>
      <c r="AQ117" s="109" t="s">
        <v>365</v>
      </c>
      <c r="AV117" s="101">
        <f t="shared" si="156"/>
        <v>0</v>
      </c>
      <c r="AW117" s="101">
        <f t="shared" si="157"/>
        <v>0</v>
      </c>
      <c r="AX117" s="101">
        <f t="shared" si="158"/>
        <v>0</v>
      </c>
      <c r="AY117" s="102" t="s">
        <v>371</v>
      </c>
      <c r="AZ117" s="102" t="s">
        <v>382</v>
      </c>
      <c r="BA117" s="93" t="s">
        <v>395</v>
      </c>
      <c r="BC117" s="101">
        <f t="shared" si="159"/>
        <v>0</v>
      </c>
      <c r="BD117" s="101">
        <f t="shared" si="160"/>
        <v>0</v>
      </c>
      <c r="BE117" s="101">
        <v>0</v>
      </c>
      <c r="BF117" s="101">
        <f>117</f>
        <v>117</v>
      </c>
      <c r="BH117" s="108">
        <f t="shared" si="161"/>
        <v>0</v>
      </c>
      <c r="BI117" s="108">
        <f t="shared" si="162"/>
        <v>0</v>
      </c>
      <c r="BJ117" s="108">
        <f t="shared" si="163"/>
        <v>0</v>
      </c>
    </row>
    <row r="118" spans="1:62" ht="12.75">
      <c r="A118" s="15" t="s">
        <v>143</v>
      </c>
      <c r="B118" s="15" t="s">
        <v>213</v>
      </c>
      <c r="C118" s="55" t="s">
        <v>299</v>
      </c>
      <c r="D118" s="53"/>
      <c r="E118" s="53"/>
      <c r="F118" s="15" t="s">
        <v>327</v>
      </c>
      <c r="G118" s="24">
        <v>100</v>
      </c>
      <c r="H118" s="108">
        <v>0</v>
      </c>
      <c r="I118" s="108">
        <f t="shared" si="140"/>
        <v>0</v>
      </c>
      <c r="J118" s="108">
        <f t="shared" si="141"/>
        <v>0</v>
      </c>
      <c r="K118" s="108">
        <f t="shared" si="142"/>
        <v>0</v>
      </c>
      <c r="L118" s="109"/>
      <c r="Z118" s="101">
        <f t="shared" si="143"/>
        <v>0</v>
      </c>
      <c r="AB118" s="101">
        <f t="shared" si="144"/>
        <v>0</v>
      </c>
      <c r="AC118" s="101">
        <f t="shared" si="145"/>
        <v>0</v>
      </c>
      <c r="AD118" s="101">
        <f t="shared" si="146"/>
        <v>0</v>
      </c>
      <c r="AE118" s="101">
        <f t="shared" si="147"/>
        <v>0</v>
      </c>
      <c r="AF118" s="101">
        <f t="shared" si="148"/>
        <v>0</v>
      </c>
      <c r="AG118" s="101">
        <f t="shared" si="149"/>
        <v>0</v>
      </c>
      <c r="AH118" s="101">
        <f t="shared" si="150"/>
        <v>0</v>
      </c>
      <c r="AI118" s="93" t="s">
        <v>362</v>
      </c>
      <c r="AJ118" s="108">
        <f t="shared" si="151"/>
        <v>0</v>
      </c>
      <c r="AK118" s="108">
        <f t="shared" si="152"/>
        <v>0</v>
      </c>
      <c r="AL118" s="108">
        <f t="shared" si="153"/>
        <v>0</v>
      </c>
      <c r="AN118" s="101">
        <v>21</v>
      </c>
      <c r="AO118" s="101">
        <f t="shared" si="154"/>
        <v>0</v>
      </c>
      <c r="AP118" s="101">
        <f t="shared" si="155"/>
        <v>0</v>
      </c>
      <c r="AQ118" s="109" t="s">
        <v>365</v>
      </c>
      <c r="AV118" s="101">
        <f t="shared" si="156"/>
        <v>0</v>
      </c>
      <c r="AW118" s="101">
        <f t="shared" si="157"/>
        <v>0</v>
      </c>
      <c r="AX118" s="101">
        <f t="shared" si="158"/>
        <v>0</v>
      </c>
      <c r="AY118" s="102" t="s">
        <v>371</v>
      </c>
      <c r="AZ118" s="102" t="s">
        <v>382</v>
      </c>
      <c r="BA118" s="93" t="s">
        <v>395</v>
      </c>
      <c r="BC118" s="101">
        <f t="shared" si="159"/>
        <v>0</v>
      </c>
      <c r="BD118" s="101">
        <f t="shared" si="160"/>
        <v>0</v>
      </c>
      <c r="BE118" s="101">
        <v>0</v>
      </c>
      <c r="BF118" s="101">
        <f>118</f>
        <v>118</v>
      </c>
      <c r="BH118" s="108">
        <f t="shared" si="161"/>
        <v>0</v>
      </c>
      <c r="BI118" s="108">
        <f t="shared" si="162"/>
        <v>0</v>
      </c>
      <c r="BJ118" s="108">
        <f t="shared" si="163"/>
        <v>0</v>
      </c>
    </row>
    <row r="119" spans="1:62" ht="12.75">
      <c r="A119" s="15" t="s">
        <v>144</v>
      </c>
      <c r="B119" s="15" t="s">
        <v>213</v>
      </c>
      <c r="C119" s="55" t="s">
        <v>300</v>
      </c>
      <c r="D119" s="53"/>
      <c r="E119" s="53"/>
      <c r="F119" s="15" t="s">
        <v>327</v>
      </c>
      <c r="G119" s="24">
        <v>25</v>
      </c>
      <c r="H119" s="108">
        <v>0</v>
      </c>
      <c r="I119" s="108">
        <f t="shared" si="140"/>
        <v>0</v>
      </c>
      <c r="J119" s="108">
        <f t="shared" si="141"/>
        <v>0</v>
      </c>
      <c r="K119" s="108">
        <f t="shared" si="142"/>
        <v>0</v>
      </c>
      <c r="L119" s="109"/>
      <c r="Z119" s="101">
        <f t="shared" si="143"/>
        <v>0</v>
      </c>
      <c r="AB119" s="101">
        <f t="shared" si="144"/>
        <v>0</v>
      </c>
      <c r="AC119" s="101">
        <f t="shared" si="145"/>
        <v>0</v>
      </c>
      <c r="AD119" s="101">
        <f t="shared" si="146"/>
        <v>0</v>
      </c>
      <c r="AE119" s="101">
        <f t="shared" si="147"/>
        <v>0</v>
      </c>
      <c r="AF119" s="101">
        <f t="shared" si="148"/>
        <v>0</v>
      </c>
      <c r="AG119" s="101">
        <f t="shared" si="149"/>
        <v>0</v>
      </c>
      <c r="AH119" s="101">
        <f t="shared" si="150"/>
        <v>0</v>
      </c>
      <c r="AI119" s="93" t="s">
        <v>362</v>
      </c>
      <c r="AJ119" s="108">
        <f t="shared" si="151"/>
        <v>0</v>
      </c>
      <c r="AK119" s="108">
        <f t="shared" si="152"/>
        <v>0</v>
      </c>
      <c r="AL119" s="108">
        <f t="shared" si="153"/>
        <v>0</v>
      </c>
      <c r="AN119" s="101">
        <v>21</v>
      </c>
      <c r="AO119" s="101">
        <f t="shared" si="154"/>
        <v>0</v>
      </c>
      <c r="AP119" s="101">
        <f t="shared" si="155"/>
        <v>0</v>
      </c>
      <c r="AQ119" s="109" t="s">
        <v>365</v>
      </c>
      <c r="AV119" s="101">
        <f t="shared" si="156"/>
        <v>0</v>
      </c>
      <c r="AW119" s="101">
        <f t="shared" si="157"/>
        <v>0</v>
      </c>
      <c r="AX119" s="101">
        <f t="shared" si="158"/>
        <v>0</v>
      </c>
      <c r="AY119" s="102" t="s">
        <v>371</v>
      </c>
      <c r="AZ119" s="102" t="s">
        <v>382</v>
      </c>
      <c r="BA119" s="93" t="s">
        <v>395</v>
      </c>
      <c r="BC119" s="101">
        <f t="shared" si="159"/>
        <v>0</v>
      </c>
      <c r="BD119" s="101">
        <f t="shared" si="160"/>
        <v>0</v>
      </c>
      <c r="BE119" s="101">
        <v>0</v>
      </c>
      <c r="BF119" s="101">
        <f>119</f>
        <v>119</v>
      </c>
      <c r="BH119" s="108">
        <f t="shared" si="161"/>
        <v>0</v>
      </c>
      <c r="BI119" s="108">
        <f t="shared" si="162"/>
        <v>0</v>
      </c>
      <c r="BJ119" s="108">
        <f t="shared" si="163"/>
        <v>0</v>
      </c>
    </row>
    <row r="120" spans="1:62" ht="12.75">
      <c r="A120" s="15" t="s">
        <v>145</v>
      </c>
      <c r="B120" s="15" t="s">
        <v>213</v>
      </c>
      <c r="C120" s="55" t="s">
        <v>301</v>
      </c>
      <c r="D120" s="53"/>
      <c r="E120" s="53"/>
      <c r="F120" s="15" t="s">
        <v>327</v>
      </c>
      <c r="G120" s="24">
        <v>7</v>
      </c>
      <c r="H120" s="108">
        <v>0</v>
      </c>
      <c r="I120" s="108">
        <f t="shared" si="140"/>
        <v>0</v>
      </c>
      <c r="J120" s="108">
        <f t="shared" si="141"/>
        <v>0</v>
      </c>
      <c r="K120" s="108">
        <f t="shared" si="142"/>
        <v>0</v>
      </c>
      <c r="L120" s="109"/>
      <c r="Z120" s="101">
        <f t="shared" si="143"/>
        <v>0</v>
      </c>
      <c r="AB120" s="101">
        <f t="shared" si="144"/>
        <v>0</v>
      </c>
      <c r="AC120" s="101">
        <f t="shared" si="145"/>
        <v>0</v>
      </c>
      <c r="AD120" s="101">
        <f t="shared" si="146"/>
        <v>0</v>
      </c>
      <c r="AE120" s="101">
        <f t="shared" si="147"/>
        <v>0</v>
      </c>
      <c r="AF120" s="101">
        <f t="shared" si="148"/>
        <v>0</v>
      </c>
      <c r="AG120" s="101">
        <f t="shared" si="149"/>
        <v>0</v>
      </c>
      <c r="AH120" s="101">
        <f t="shared" si="150"/>
        <v>0</v>
      </c>
      <c r="AI120" s="93" t="s">
        <v>362</v>
      </c>
      <c r="AJ120" s="108">
        <f t="shared" si="151"/>
        <v>0</v>
      </c>
      <c r="AK120" s="108">
        <f t="shared" si="152"/>
        <v>0</v>
      </c>
      <c r="AL120" s="108">
        <f t="shared" si="153"/>
        <v>0</v>
      </c>
      <c r="AN120" s="101">
        <v>21</v>
      </c>
      <c r="AO120" s="101">
        <f t="shared" si="154"/>
        <v>0</v>
      </c>
      <c r="AP120" s="101">
        <f t="shared" si="155"/>
        <v>0</v>
      </c>
      <c r="AQ120" s="109" t="s">
        <v>365</v>
      </c>
      <c r="AV120" s="101">
        <f t="shared" si="156"/>
        <v>0</v>
      </c>
      <c r="AW120" s="101">
        <f t="shared" si="157"/>
        <v>0</v>
      </c>
      <c r="AX120" s="101">
        <f t="shared" si="158"/>
        <v>0</v>
      </c>
      <c r="AY120" s="102" t="s">
        <v>371</v>
      </c>
      <c r="AZ120" s="102" t="s">
        <v>382</v>
      </c>
      <c r="BA120" s="93" t="s">
        <v>395</v>
      </c>
      <c r="BC120" s="101">
        <f t="shared" si="159"/>
        <v>0</v>
      </c>
      <c r="BD120" s="101">
        <f t="shared" si="160"/>
        <v>0</v>
      </c>
      <c r="BE120" s="101">
        <v>0</v>
      </c>
      <c r="BF120" s="101">
        <f>120</f>
        <v>120</v>
      </c>
      <c r="BH120" s="108">
        <f t="shared" si="161"/>
        <v>0</v>
      </c>
      <c r="BI120" s="108">
        <f t="shared" si="162"/>
        <v>0</v>
      </c>
      <c r="BJ120" s="108">
        <f t="shared" si="163"/>
        <v>0</v>
      </c>
    </row>
    <row r="121" spans="1:62" ht="12.75">
      <c r="A121" s="15" t="s">
        <v>146</v>
      </c>
      <c r="B121" s="15" t="s">
        <v>213</v>
      </c>
      <c r="C121" s="55" t="s">
        <v>302</v>
      </c>
      <c r="D121" s="53"/>
      <c r="E121" s="53"/>
      <c r="F121" s="15" t="s">
        <v>327</v>
      </c>
      <c r="G121" s="24">
        <v>128</v>
      </c>
      <c r="H121" s="108">
        <v>0</v>
      </c>
      <c r="I121" s="108">
        <f t="shared" si="140"/>
        <v>0</v>
      </c>
      <c r="J121" s="108">
        <f t="shared" si="141"/>
        <v>0</v>
      </c>
      <c r="K121" s="108">
        <f t="shared" si="142"/>
        <v>0</v>
      </c>
      <c r="L121" s="109"/>
      <c r="Z121" s="101">
        <f t="shared" si="143"/>
        <v>0</v>
      </c>
      <c r="AB121" s="101">
        <f t="shared" si="144"/>
        <v>0</v>
      </c>
      <c r="AC121" s="101">
        <f t="shared" si="145"/>
        <v>0</v>
      </c>
      <c r="AD121" s="101">
        <f t="shared" si="146"/>
        <v>0</v>
      </c>
      <c r="AE121" s="101">
        <f t="shared" si="147"/>
        <v>0</v>
      </c>
      <c r="AF121" s="101">
        <f t="shared" si="148"/>
        <v>0</v>
      </c>
      <c r="AG121" s="101">
        <f t="shared" si="149"/>
        <v>0</v>
      </c>
      <c r="AH121" s="101">
        <f t="shared" si="150"/>
        <v>0</v>
      </c>
      <c r="AI121" s="93" t="s">
        <v>362</v>
      </c>
      <c r="AJ121" s="108">
        <f t="shared" si="151"/>
        <v>0</v>
      </c>
      <c r="AK121" s="108">
        <f t="shared" si="152"/>
        <v>0</v>
      </c>
      <c r="AL121" s="108">
        <f t="shared" si="153"/>
        <v>0</v>
      </c>
      <c r="AN121" s="101">
        <v>21</v>
      </c>
      <c r="AO121" s="101">
        <f t="shared" si="154"/>
        <v>0</v>
      </c>
      <c r="AP121" s="101">
        <f t="shared" si="155"/>
        <v>0</v>
      </c>
      <c r="AQ121" s="109" t="s">
        <v>365</v>
      </c>
      <c r="AV121" s="101">
        <f t="shared" si="156"/>
        <v>0</v>
      </c>
      <c r="AW121" s="101">
        <f t="shared" si="157"/>
        <v>0</v>
      </c>
      <c r="AX121" s="101">
        <f t="shared" si="158"/>
        <v>0</v>
      </c>
      <c r="AY121" s="102" t="s">
        <v>371</v>
      </c>
      <c r="AZ121" s="102" t="s">
        <v>382</v>
      </c>
      <c r="BA121" s="93" t="s">
        <v>395</v>
      </c>
      <c r="BC121" s="101">
        <f t="shared" si="159"/>
        <v>0</v>
      </c>
      <c r="BD121" s="101">
        <f t="shared" si="160"/>
        <v>0</v>
      </c>
      <c r="BE121" s="101">
        <v>0</v>
      </c>
      <c r="BF121" s="101">
        <f>121</f>
        <v>121</v>
      </c>
      <c r="BH121" s="108">
        <f t="shared" si="161"/>
        <v>0</v>
      </c>
      <c r="BI121" s="108">
        <f t="shared" si="162"/>
        <v>0</v>
      </c>
      <c r="BJ121" s="108">
        <f t="shared" si="163"/>
        <v>0</v>
      </c>
    </row>
    <row r="122" spans="1:62" ht="12.75">
      <c r="A122" s="15" t="s">
        <v>147</v>
      </c>
      <c r="B122" s="15" t="s">
        <v>213</v>
      </c>
      <c r="C122" s="55" t="s">
        <v>303</v>
      </c>
      <c r="D122" s="53"/>
      <c r="E122" s="53"/>
      <c r="F122" s="15" t="s">
        <v>327</v>
      </c>
      <c r="G122" s="24">
        <v>3</v>
      </c>
      <c r="H122" s="108">
        <v>0</v>
      </c>
      <c r="I122" s="108">
        <f t="shared" si="140"/>
        <v>0</v>
      </c>
      <c r="J122" s="108">
        <f t="shared" si="141"/>
        <v>0</v>
      </c>
      <c r="K122" s="108">
        <f t="shared" si="142"/>
        <v>0</v>
      </c>
      <c r="L122" s="109"/>
      <c r="Z122" s="101">
        <f t="shared" si="143"/>
        <v>0</v>
      </c>
      <c r="AB122" s="101">
        <f t="shared" si="144"/>
        <v>0</v>
      </c>
      <c r="AC122" s="101">
        <f t="shared" si="145"/>
        <v>0</v>
      </c>
      <c r="AD122" s="101">
        <f t="shared" si="146"/>
        <v>0</v>
      </c>
      <c r="AE122" s="101">
        <f t="shared" si="147"/>
        <v>0</v>
      </c>
      <c r="AF122" s="101">
        <f t="shared" si="148"/>
        <v>0</v>
      </c>
      <c r="AG122" s="101">
        <f t="shared" si="149"/>
        <v>0</v>
      </c>
      <c r="AH122" s="101">
        <f t="shared" si="150"/>
        <v>0</v>
      </c>
      <c r="AI122" s="93" t="s">
        <v>362</v>
      </c>
      <c r="AJ122" s="108">
        <f t="shared" si="151"/>
        <v>0</v>
      </c>
      <c r="AK122" s="108">
        <f t="shared" si="152"/>
        <v>0</v>
      </c>
      <c r="AL122" s="108">
        <f t="shared" si="153"/>
        <v>0</v>
      </c>
      <c r="AN122" s="101">
        <v>21</v>
      </c>
      <c r="AO122" s="101">
        <f t="shared" si="154"/>
        <v>0</v>
      </c>
      <c r="AP122" s="101">
        <f t="shared" si="155"/>
        <v>0</v>
      </c>
      <c r="AQ122" s="109" t="s">
        <v>365</v>
      </c>
      <c r="AV122" s="101">
        <f t="shared" si="156"/>
        <v>0</v>
      </c>
      <c r="AW122" s="101">
        <f t="shared" si="157"/>
        <v>0</v>
      </c>
      <c r="AX122" s="101">
        <f t="shared" si="158"/>
        <v>0</v>
      </c>
      <c r="AY122" s="102" t="s">
        <v>371</v>
      </c>
      <c r="AZ122" s="102" t="s">
        <v>382</v>
      </c>
      <c r="BA122" s="93" t="s">
        <v>395</v>
      </c>
      <c r="BC122" s="101">
        <f t="shared" si="159"/>
        <v>0</v>
      </c>
      <c r="BD122" s="101">
        <f t="shared" si="160"/>
        <v>0</v>
      </c>
      <c r="BE122" s="101">
        <v>0</v>
      </c>
      <c r="BF122" s="101">
        <f>122</f>
        <v>122</v>
      </c>
      <c r="BH122" s="108">
        <f t="shared" si="161"/>
        <v>0</v>
      </c>
      <c r="BI122" s="108">
        <f t="shared" si="162"/>
        <v>0</v>
      </c>
      <c r="BJ122" s="108">
        <f t="shared" si="163"/>
        <v>0</v>
      </c>
    </row>
    <row r="123" spans="1:12" ht="12.75">
      <c r="A123" s="14"/>
      <c r="B123" s="21"/>
      <c r="C123" s="50" t="s">
        <v>304</v>
      </c>
      <c r="D123" s="51"/>
      <c r="E123" s="51"/>
      <c r="F123" s="14" t="s">
        <v>56</v>
      </c>
      <c r="G123" s="14" t="s">
        <v>56</v>
      </c>
      <c r="H123" s="103" t="s">
        <v>56</v>
      </c>
      <c r="I123" s="104">
        <f>I124+I130+I132</f>
        <v>0</v>
      </c>
      <c r="J123" s="104">
        <f>J124+J130+J132</f>
        <v>0</v>
      </c>
      <c r="K123" s="104">
        <f>K124+K130+K132</f>
        <v>0</v>
      </c>
      <c r="L123" s="105"/>
    </row>
    <row r="124" spans="1:47" ht="12.75">
      <c r="A124" s="12"/>
      <c r="B124" s="20" t="s">
        <v>74</v>
      </c>
      <c r="C124" s="46" t="s">
        <v>276</v>
      </c>
      <c r="D124" s="47"/>
      <c r="E124" s="47"/>
      <c r="F124" s="12" t="s">
        <v>56</v>
      </c>
      <c r="G124" s="12" t="s">
        <v>56</v>
      </c>
      <c r="H124" s="97" t="s">
        <v>56</v>
      </c>
      <c r="I124" s="98">
        <f>SUM(I125:I129)</f>
        <v>0</v>
      </c>
      <c r="J124" s="98">
        <f>SUM(J125:J129)</f>
        <v>0</v>
      </c>
      <c r="K124" s="98">
        <f>SUM(K125:K129)</f>
        <v>0</v>
      </c>
      <c r="L124" s="93"/>
      <c r="AI124" s="93" t="s">
        <v>363</v>
      </c>
      <c r="AS124" s="98">
        <f>SUM(AJ125:AJ129)</f>
        <v>0</v>
      </c>
      <c r="AT124" s="98">
        <f>SUM(AK125:AK129)</f>
        <v>0</v>
      </c>
      <c r="AU124" s="98">
        <f>SUM(AL125:AL129)</f>
        <v>0</v>
      </c>
    </row>
    <row r="125" spans="1:62" ht="12.75">
      <c r="A125" s="13" t="s">
        <v>148</v>
      </c>
      <c r="B125" s="13" t="s">
        <v>215</v>
      </c>
      <c r="C125" s="48" t="s">
        <v>305</v>
      </c>
      <c r="D125" s="49"/>
      <c r="E125" s="49"/>
      <c r="F125" s="13" t="s">
        <v>325</v>
      </c>
      <c r="G125" s="23">
        <v>86143</v>
      </c>
      <c r="H125" s="99">
        <v>0</v>
      </c>
      <c r="I125" s="99">
        <f>G125*AO125</f>
        <v>0</v>
      </c>
      <c r="J125" s="99">
        <f>G125*AP125</f>
        <v>0</v>
      </c>
      <c r="K125" s="99">
        <f>G125*H125</f>
        <v>0</v>
      </c>
      <c r="L125" s="100" t="s">
        <v>346</v>
      </c>
      <c r="Z125" s="101">
        <f>IF(AQ125="5",BJ125,0)</f>
        <v>0</v>
      </c>
      <c r="AB125" s="101">
        <f>IF(AQ125="1",BH125,0)</f>
        <v>0</v>
      </c>
      <c r="AC125" s="101">
        <f>IF(AQ125="1",BI125,0)</f>
        <v>0</v>
      </c>
      <c r="AD125" s="101">
        <f>IF(AQ125="7",BH125,0)</f>
        <v>0</v>
      </c>
      <c r="AE125" s="101">
        <f>IF(AQ125="7",BI125,0)</f>
        <v>0</v>
      </c>
      <c r="AF125" s="101">
        <f>IF(AQ125="2",BH125,0)</f>
        <v>0</v>
      </c>
      <c r="AG125" s="101">
        <f>IF(AQ125="2",BI125,0)</f>
        <v>0</v>
      </c>
      <c r="AH125" s="101">
        <f>IF(AQ125="0",BJ125,0)</f>
        <v>0</v>
      </c>
      <c r="AI125" s="93" t="s">
        <v>363</v>
      </c>
      <c r="AJ125" s="99">
        <f>IF(AN125=0,K125,0)</f>
        <v>0</v>
      </c>
      <c r="AK125" s="99">
        <f>IF(AN125=15,K125,0)</f>
        <v>0</v>
      </c>
      <c r="AL125" s="99">
        <f>IF(AN125=21,K125,0)</f>
        <v>0</v>
      </c>
      <c r="AN125" s="101">
        <v>21</v>
      </c>
      <c r="AO125" s="101">
        <f>H125*0</f>
        <v>0</v>
      </c>
      <c r="AP125" s="101">
        <f>H125*(1-0)</f>
        <v>0</v>
      </c>
      <c r="AQ125" s="100" t="s">
        <v>57</v>
      </c>
      <c r="AV125" s="101">
        <f>AW125+AX125</f>
        <v>0</v>
      </c>
      <c r="AW125" s="101">
        <f>G125*AO125</f>
        <v>0</v>
      </c>
      <c r="AX125" s="101">
        <f>G125*AP125</f>
        <v>0</v>
      </c>
      <c r="AY125" s="102" t="s">
        <v>369</v>
      </c>
      <c r="AZ125" s="102" t="s">
        <v>383</v>
      </c>
      <c r="BA125" s="93" t="s">
        <v>396</v>
      </c>
      <c r="BC125" s="101">
        <f>AW125+AX125</f>
        <v>0</v>
      </c>
      <c r="BD125" s="101">
        <f>H125/(100-BE125)*100</f>
        <v>0</v>
      </c>
      <c r="BE125" s="101">
        <v>0</v>
      </c>
      <c r="BF125" s="101">
        <f>125</f>
        <v>125</v>
      </c>
      <c r="BH125" s="99">
        <f>G125*AO125</f>
        <v>0</v>
      </c>
      <c r="BI125" s="99">
        <f>G125*AP125</f>
        <v>0</v>
      </c>
      <c r="BJ125" s="99">
        <f>G125*H125</f>
        <v>0</v>
      </c>
    </row>
    <row r="126" spans="1:62" ht="12.75">
      <c r="A126" s="13" t="s">
        <v>149</v>
      </c>
      <c r="B126" s="13" t="s">
        <v>216</v>
      </c>
      <c r="C126" s="48" t="s">
        <v>306</v>
      </c>
      <c r="D126" s="49"/>
      <c r="E126" s="49"/>
      <c r="F126" s="13" t="s">
        <v>325</v>
      </c>
      <c r="G126" s="23">
        <v>86143</v>
      </c>
      <c r="H126" s="99">
        <v>0</v>
      </c>
      <c r="I126" s="99">
        <f>G126*AO126</f>
        <v>0</v>
      </c>
      <c r="J126" s="99">
        <f>G126*AP126</f>
        <v>0</v>
      </c>
      <c r="K126" s="99">
        <f>G126*H126</f>
        <v>0</v>
      </c>
      <c r="L126" s="100" t="s">
        <v>346</v>
      </c>
      <c r="Z126" s="101">
        <f>IF(AQ126="5",BJ126,0)</f>
        <v>0</v>
      </c>
      <c r="AB126" s="101">
        <f>IF(AQ126="1",BH126,0)</f>
        <v>0</v>
      </c>
      <c r="AC126" s="101">
        <f>IF(AQ126="1",BI126,0)</f>
        <v>0</v>
      </c>
      <c r="AD126" s="101">
        <f>IF(AQ126="7",BH126,0)</f>
        <v>0</v>
      </c>
      <c r="AE126" s="101">
        <f>IF(AQ126="7",BI126,0)</f>
        <v>0</v>
      </c>
      <c r="AF126" s="101">
        <f>IF(AQ126="2",BH126,0)</f>
        <v>0</v>
      </c>
      <c r="AG126" s="101">
        <f>IF(AQ126="2",BI126,0)</f>
        <v>0</v>
      </c>
      <c r="AH126" s="101">
        <f>IF(AQ126="0",BJ126,0)</f>
        <v>0</v>
      </c>
      <c r="AI126" s="93" t="s">
        <v>363</v>
      </c>
      <c r="AJ126" s="99">
        <f>IF(AN126=0,K126,0)</f>
        <v>0</v>
      </c>
      <c r="AK126" s="99">
        <f>IF(AN126=15,K126,0)</f>
        <v>0</v>
      </c>
      <c r="AL126" s="99">
        <f>IF(AN126=21,K126,0)</f>
        <v>0</v>
      </c>
      <c r="AN126" s="101">
        <v>21</v>
      </c>
      <c r="AO126" s="101">
        <f>H126*0</f>
        <v>0</v>
      </c>
      <c r="AP126" s="101">
        <f>H126*(1-0)</f>
        <v>0</v>
      </c>
      <c r="AQ126" s="100" t="s">
        <v>57</v>
      </c>
      <c r="AV126" s="101">
        <f>AW126+AX126</f>
        <v>0</v>
      </c>
      <c r="AW126" s="101">
        <f>G126*AO126</f>
        <v>0</v>
      </c>
      <c r="AX126" s="101">
        <f>G126*AP126</f>
        <v>0</v>
      </c>
      <c r="AY126" s="102" t="s">
        <v>369</v>
      </c>
      <c r="AZ126" s="102" t="s">
        <v>383</v>
      </c>
      <c r="BA126" s="93" t="s">
        <v>396</v>
      </c>
      <c r="BC126" s="101">
        <f>AW126+AX126</f>
        <v>0</v>
      </c>
      <c r="BD126" s="101">
        <f>H126/(100-BE126)*100</f>
        <v>0</v>
      </c>
      <c r="BE126" s="101">
        <v>0</v>
      </c>
      <c r="BF126" s="101">
        <f>126</f>
        <v>126</v>
      </c>
      <c r="BH126" s="99">
        <f>G126*AO126</f>
        <v>0</v>
      </c>
      <c r="BI126" s="99">
        <f>G126*AP126</f>
        <v>0</v>
      </c>
      <c r="BJ126" s="99">
        <f>G126*H126</f>
        <v>0</v>
      </c>
    </row>
    <row r="127" spans="1:62" ht="12.75">
      <c r="A127" s="13" t="s">
        <v>150</v>
      </c>
      <c r="B127" s="13" t="s">
        <v>217</v>
      </c>
      <c r="C127" s="48" t="s">
        <v>307</v>
      </c>
      <c r="D127" s="49"/>
      <c r="E127" s="49"/>
      <c r="F127" s="13" t="s">
        <v>325</v>
      </c>
      <c r="G127" s="23">
        <v>86143</v>
      </c>
      <c r="H127" s="99">
        <v>0</v>
      </c>
      <c r="I127" s="99">
        <f>G127*AO127</f>
        <v>0</v>
      </c>
      <c r="J127" s="99">
        <f>G127*AP127</f>
        <v>0</v>
      </c>
      <c r="K127" s="99">
        <f>G127*H127</f>
        <v>0</v>
      </c>
      <c r="L127" s="100" t="s">
        <v>346</v>
      </c>
      <c r="Z127" s="101">
        <f>IF(AQ127="5",BJ127,0)</f>
        <v>0</v>
      </c>
      <c r="AB127" s="101">
        <f>IF(AQ127="1",BH127,0)</f>
        <v>0</v>
      </c>
      <c r="AC127" s="101">
        <f>IF(AQ127="1",BI127,0)</f>
        <v>0</v>
      </c>
      <c r="AD127" s="101">
        <f>IF(AQ127="7",BH127,0)</f>
        <v>0</v>
      </c>
      <c r="AE127" s="101">
        <f>IF(AQ127="7",BI127,0)</f>
        <v>0</v>
      </c>
      <c r="AF127" s="101">
        <f>IF(AQ127="2",BH127,0)</f>
        <v>0</v>
      </c>
      <c r="AG127" s="101">
        <f>IF(AQ127="2",BI127,0)</f>
        <v>0</v>
      </c>
      <c r="AH127" s="101">
        <f>IF(AQ127="0",BJ127,0)</f>
        <v>0</v>
      </c>
      <c r="AI127" s="93" t="s">
        <v>363</v>
      </c>
      <c r="AJ127" s="99">
        <f>IF(AN127=0,K127,0)</f>
        <v>0</v>
      </c>
      <c r="AK127" s="99">
        <f>IF(AN127=15,K127,0)</f>
        <v>0</v>
      </c>
      <c r="AL127" s="99">
        <f>IF(AN127=21,K127,0)</f>
        <v>0</v>
      </c>
      <c r="AN127" s="101">
        <v>21</v>
      </c>
      <c r="AO127" s="101">
        <f>H127*0</f>
        <v>0</v>
      </c>
      <c r="AP127" s="101">
        <f>H127*(1-0)</f>
        <v>0</v>
      </c>
      <c r="AQ127" s="100" t="s">
        <v>57</v>
      </c>
      <c r="AV127" s="101">
        <f>AW127+AX127</f>
        <v>0</v>
      </c>
      <c r="AW127" s="101">
        <f>G127*AO127</f>
        <v>0</v>
      </c>
      <c r="AX127" s="101">
        <f>G127*AP127</f>
        <v>0</v>
      </c>
      <c r="AY127" s="102" t="s">
        <v>369</v>
      </c>
      <c r="AZ127" s="102" t="s">
        <v>383</v>
      </c>
      <c r="BA127" s="93" t="s">
        <v>396</v>
      </c>
      <c r="BC127" s="101">
        <f>AW127+AX127</f>
        <v>0</v>
      </c>
      <c r="BD127" s="101">
        <f>H127/(100-BE127)*100</f>
        <v>0</v>
      </c>
      <c r="BE127" s="101">
        <v>0</v>
      </c>
      <c r="BF127" s="101">
        <f>127</f>
        <v>127</v>
      </c>
      <c r="BH127" s="99">
        <f>G127*AO127</f>
        <v>0</v>
      </c>
      <c r="BI127" s="99">
        <f>G127*AP127</f>
        <v>0</v>
      </c>
      <c r="BJ127" s="99">
        <f>G127*H127</f>
        <v>0</v>
      </c>
    </row>
    <row r="128" spans="1:62" ht="12.75">
      <c r="A128" s="13" t="s">
        <v>151</v>
      </c>
      <c r="B128" s="13" t="s">
        <v>218</v>
      </c>
      <c r="C128" s="48" t="s">
        <v>308</v>
      </c>
      <c r="D128" s="49"/>
      <c r="E128" s="49"/>
      <c r="F128" s="13" t="s">
        <v>325</v>
      </c>
      <c r="G128" s="23">
        <v>86143</v>
      </c>
      <c r="H128" s="99">
        <v>0</v>
      </c>
      <c r="I128" s="99">
        <f>G128*AO128</f>
        <v>0</v>
      </c>
      <c r="J128" s="99">
        <f>G128*AP128</f>
        <v>0</v>
      </c>
      <c r="K128" s="99">
        <f>G128*H128</f>
        <v>0</v>
      </c>
      <c r="L128" s="100" t="s">
        <v>346</v>
      </c>
      <c r="Z128" s="101">
        <f>IF(AQ128="5",BJ128,0)</f>
        <v>0</v>
      </c>
      <c r="AB128" s="101">
        <f>IF(AQ128="1",BH128,0)</f>
        <v>0</v>
      </c>
      <c r="AC128" s="101">
        <f>IF(AQ128="1",BI128,0)</f>
        <v>0</v>
      </c>
      <c r="AD128" s="101">
        <f>IF(AQ128="7",BH128,0)</f>
        <v>0</v>
      </c>
      <c r="AE128" s="101">
        <f>IF(AQ128="7",BI128,0)</f>
        <v>0</v>
      </c>
      <c r="AF128" s="101">
        <f>IF(AQ128="2",BH128,0)</f>
        <v>0</v>
      </c>
      <c r="AG128" s="101">
        <f>IF(AQ128="2",BI128,0)</f>
        <v>0</v>
      </c>
      <c r="AH128" s="101">
        <f>IF(AQ128="0",BJ128,0)</f>
        <v>0</v>
      </c>
      <c r="AI128" s="93" t="s">
        <v>363</v>
      </c>
      <c r="AJ128" s="99">
        <f>IF(AN128=0,K128,0)</f>
        <v>0</v>
      </c>
      <c r="AK128" s="99">
        <f>IF(AN128=15,K128,0)</f>
        <v>0</v>
      </c>
      <c r="AL128" s="99">
        <f>IF(AN128=21,K128,0)</f>
        <v>0</v>
      </c>
      <c r="AN128" s="101">
        <v>21</v>
      </c>
      <c r="AO128" s="101">
        <f>H128*0</f>
        <v>0</v>
      </c>
      <c r="AP128" s="101">
        <f>H128*(1-0)</f>
        <v>0</v>
      </c>
      <c r="AQ128" s="100" t="s">
        <v>57</v>
      </c>
      <c r="AV128" s="101">
        <f>AW128+AX128</f>
        <v>0</v>
      </c>
      <c r="AW128" s="101">
        <f>G128*AO128</f>
        <v>0</v>
      </c>
      <c r="AX128" s="101">
        <f>G128*AP128</f>
        <v>0</v>
      </c>
      <c r="AY128" s="102" t="s">
        <v>369</v>
      </c>
      <c r="AZ128" s="102" t="s">
        <v>383</v>
      </c>
      <c r="BA128" s="93" t="s">
        <v>396</v>
      </c>
      <c r="BC128" s="101">
        <f>AW128+AX128</f>
        <v>0</v>
      </c>
      <c r="BD128" s="101">
        <f>H128/(100-BE128)*100</f>
        <v>0</v>
      </c>
      <c r="BE128" s="101">
        <v>0</v>
      </c>
      <c r="BF128" s="101">
        <f>128</f>
        <v>128</v>
      </c>
      <c r="BH128" s="99">
        <f>G128*AO128</f>
        <v>0</v>
      </c>
      <c r="BI128" s="99">
        <f>G128*AP128</f>
        <v>0</v>
      </c>
      <c r="BJ128" s="99">
        <f>G128*H128</f>
        <v>0</v>
      </c>
    </row>
    <row r="129" spans="1:62" ht="12.75">
      <c r="A129" s="13" t="s">
        <v>152</v>
      </c>
      <c r="B129" s="13" t="s">
        <v>219</v>
      </c>
      <c r="C129" s="48" t="s">
        <v>309</v>
      </c>
      <c r="D129" s="49"/>
      <c r="E129" s="49"/>
      <c r="F129" s="13" t="s">
        <v>325</v>
      </c>
      <c r="G129" s="23">
        <v>86143</v>
      </c>
      <c r="H129" s="99">
        <v>0</v>
      </c>
      <c r="I129" s="99">
        <f>G129*AO129</f>
        <v>0</v>
      </c>
      <c r="J129" s="99">
        <f>G129*AP129</f>
        <v>0</v>
      </c>
      <c r="K129" s="99">
        <f>G129*H129</f>
        <v>0</v>
      </c>
      <c r="L129" s="100" t="s">
        <v>346</v>
      </c>
      <c r="Z129" s="101">
        <f>IF(AQ129="5",BJ129,0)</f>
        <v>0</v>
      </c>
      <c r="AB129" s="101">
        <f>IF(AQ129="1",BH129,0)</f>
        <v>0</v>
      </c>
      <c r="AC129" s="101">
        <f>IF(AQ129="1",BI129,0)</f>
        <v>0</v>
      </c>
      <c r="AD129" s="101">
        <f>IF(AQ129="7",BH129,0)</f>
        <v>0</v>
      </c>
      <c r="AE129" s="101">
        <f>IF(AQ129="7",BI129,0)</f>
        <v>0</v>
      </c>
      <c r="AF129" s="101">
        <f>IF(AQ129="2",BH129,0)</f>
        <v>0</v>
      </c>
      <c r="AG129" s="101">
        <f>IF(AQ129="2",BI129,0)</f>
        <v>0</v>
      </c>
      <c r="AH129" s="101">
        <f>IF(AQ129="0",BJ129,0)</f>
        <v>0</v>
      </c>
      <c r="AI129" s="93" t="s">
        <v>363</v>
      </c>
      <c r="AJ129" s="99">
        <f>IF(AN129=0,K129,0)</f>
        <v>0</v>
      </c>
      <c r="AK129" s="99">
        <f>IF(AN129=15,K129,0)</f>
        <v>0</v>
      </c>
      <c r="AL129" s="99">
        <f>IF(AN129=21,K129,0)</f>
        <v>0</v>
      </c>
      <c r="AN129" s="101">
        <v>21</v>
      </c>
      <c r="AO129" s="101">
        <f>H129*0.075098814229249</f>
        <v>0</v>
      </c>
      <c r="AP129" s="101">
        <f>H129*(1-0.075098814229249)</f>
        <v>0</v>
      </c>
      <c r="AQ129" s="100" t="s">
        <v>57</v>
      </c>
      <c r="AV129" s="101">
        <f>AW129+AX129</f>
        <v>0</v>
      </c>
      <c r="AW129" s="101">
        <f>G129*AO129</f>
        <v>0</v>
      </c>
      <c r="AX129" s="101">
        <f>G129*AP129</f>
        <v>0</v>
      </c>
      <c r="AY129" s="102" t="s">
        <v>369</v>
      </c>
      <c r="AZ129" s="102" t="s">
        <v>383</v>
      </c>
      <c r="BA129" s="93" t="s">
        <v>396</v>
      </c>
      <c r="BC129" s="101">
        <f>AW129+AX129</f>
        <v>0</v>
      </c>
      <c r="BD129" s="101">
        <f>H129/(100-BE129)*100</f>
        <v>0</v>
      </c>
      <c r="BE129" s="101">
        <v>0</v>
      </c>
      <c r="BF129" s="101">
        <f>129</f>
        <v>129</v>
      </c>
      <c r="BH129" s="99">
        <f>G129*AO129</f>
        <v>0</v>
      </c>
      <c r="BI129" s="99">
        <f>G129*AP129</f>
        <v>0</v>
      </c>
      <c r="BJ129" s="99">
        <f>G129*H129</f>
        <v>0</v>
      </c>
    </row>
    <row r="130" spans="1:47" ht="12.75">
      <c r="A130" s="12"/>
      <c r="B130" s="20" t="s">
        <v>205</v>
      </c>
      <c r="C130" s="46" t="s">
        <v>283</v>
      </c>
      <c r="D130" s="47"/>
      <c r="E130" s="47"/>
      <c r="F130" s="12" t="s">
        <v>56</v>
      </c>
      <c r="G130" s="12" t="s">
        <v>56</v>
      </c>
      <c r="H130" s="97" t="s">
        <v>56</v>
      </c>
      <c r="I130" s="98">
        <f>SUM(I131:I131)</f>
        <v>0</v>
      </c>
      <c r="J130" s="98">
        <f>SUM(J131:J131)</f>
        <v>0</v>
      </c>
      <c r="K130" s="98">
        <f>SUM(K131:K131)</f>
        <v>0</v>
      </c>
      <c r="L130" s="93"/>
      <c r="AI130" s="93" t="s">
        <v>363</v>
      </c>
      <c r="AS130" s="98">
        <f>SUM(AJ131:AJ131)</f>
        <v>0</v>
      </c>
      <c r="AT130" s="98">
        <f>SUM(AK131:AK131)</f>
        <v>0</v>
      </c>
      <c r="AU130" s="98">
        <f>SUM(AL131:AL131)</f>
        <v>0</v>
      </c>
    </row>
    <row r="131" spans="1:62" ht="12.75">
      <c r="A131" s="13" t="s">
        <v>153</v>
      </c>
      <c r="B131" s="13" t="s">
        <v>206</v>
      </c>
      <c r="C131" s="48" t="s">
        <v>284</v>
      </c>
      <c r="D131" s="49"/>
      <c r="E131" s="49"/>
      <c r="F131" s="13" t="s">
        <v>328</v>
      </c>
      <c r="G131" s="23">
        <v>0.9</v>
      </c>
      <c r="H131" s="99">
        <v>0</v>
      </c>
      <c r="I131" s="99">
        <f>G131*AO131</f>
        <v>0</v>
      </c>
      <c r="J131" s="99">
        <f>G131*AP131</f>
        <v>0</v>
      </c>
      <c r="K131" s="99">
        <f>G131*H131</f>
        <v>0</v>
      </c>
      <c r="L131" s="100" t="s">
        <v>346</v>
      </c>
      <c r="Z131" s="101">
        <f>IF(AQ131="5",BJ131,0)</f>
        <v>0</v>
      </c>
      <c r="AB131" s="101">
        <f>IF(AQ131="1",BH131,0)</f>
        <v>0</v>
      </c>
      <c r="AC131" s="101">
        <f>IF(AQ131="1",BI131,0)</f>
        <v>0</v>
      </c>
      <c r="AD131" s="101">
        <f>IF(AQ131="7",BH131,0)</f>
        <v>0</v>
      </c>
      <c r="AE131" s="101">
        <f>IF(AQ131="7",BI131,0)</f>
        <v>0</v>
      </c>
      <c r="AF131" s="101">
        <f>IF(AQ131="2",BH131,0)</f>
        <v>0</v>
      </c>
      <c r="AG131" s="101">
        <f>IF(AQ131="2",BI131,0)</f>
        <v>0</v>
      </c>
      <c r="AH131" s="101">
        <f>IF(AQ131="0",BJ131,0)</f>
        <v>0</v>
      </c>
      <c r="AI131" s="93" t="s">
        <v>363</v>
      </c>
      <c r="AJ131" s="99">
        <f>IF(AN131=0,K131,0)</f>
        <v>0</v>
      </c>
      <c r="AK131" s="99">
        <f>IF(AN131=15,K131,0)</f>
        <v>0</v>
      </c>
      <c r="AL131" s="99">
        <f>IF(AN131=21,K131,0)</f>
        <v>0</v>
      </c>
      <c r="AN131" s="101">
        <v>21</v>
      </c>
      <c r="AO131" s="101">
        <f>H131*0</f>
        <v>0</v>
      </c>
      <c r="AP131" s="101">
        <f>H131*(1-0)</f>
        <v>0</v>
      </c>
      <c r="AQ131" s="100" t="s">
        <v>61</v>
      </c>
      <c r="AV131" s="101">
        <f>AW131+AX131</f>
        <v>0</v>
      </c>
      <c r="AW131" s="101">
        <f>G131*AO131</f>
        <v>0</v>
      </c>
      <c r="AX131" s="101">
        <f>G131*AP131</f>
        <v>0</v>
      </c>
      <c r="AY131" s="102" t="s">
        <v>370</v>
      </c>
      <c r="AZ131" s="102" t="s">
        <v>384</v>
      </c>
      <c r="BA131" s="93" t="s">
        <v>396</v>
      </c>
      <c r="BC131" s="101">
        <f>AW131+AX131</f>
        <v>0</v>
      </c>
      <c r="BD131" s="101">
        <f>H131/(100-BE131)*100</f>
        <v>0</v>
      </c>
      <c r="BE131" s="101">
        <v>0</v>
      </c>
      <c r="BF131" s="101">
        <f>131</f>
        <v>131</v>
      </c>
      <c r="BH131" s="99">
        <f>G131*AO131</f>
        <v>0</v>
      </c>
      <c r="BI131" s="99">
        <f>G131*AP131</f>
        <v>0</v>
      </c>
      <c r="BJ131" s="99">
        <f>G131*H131</f>
        <v>0</v>
      </c>
    </row>
    <row r="132" spans="1:47" ht="12.75">
      <c r="A132" s="12"/>
      <c r="B132" s="20"/>
      <c r="C132" s="46" t="s">
        <v>10</v>
      </c>
      <c r="D132" s="47"/>
      <c r="E132" s="47"/>
      <c r="F132" s="12" t="s">
        <v>56</v>
      </c>
      <c r="G132" s="12" t="s">
        <v>56</v>
      </c>
      <c r="H132" s="97" t="s">
        <v>56</v>
      </c>
      <c r="I132" s="98">
        <f>SUM(I133:I133)</f>
        <v>0</v>
      </c>
      <c r="J132" s="98">
        <f>SUM(J133:J133)</f>
        <v>0</v>
      </c>
      <c r="K132" s="98">
        <f>SUM(K133:K133)</f>
        <v>0</v>
      </c>
      <c r="L132" s="93"/>
      <c r="AI132" s="93" t="s">
        <v>363</v>
      </c>
      <c r="AS132" s="98">
        <f>SUM(AJ133:AJ133)</f>
        <v>0</v>
      </c>
      <c r="AT132" s="98">
        <f>SUM(AK133:AK133)</f>
        <v>0</v>
      </c>
      <c r="AU132" s="98">
        <f>SUM(AL133:AL133)</f>
        <v>0</v>
      </c>
    </row>
    <row r="133" spans="1:62" ht="12.75">
      <c r="A133" s="15" t="s">
        <v>154</v>
      </c>
      <c r="B133" s="15" t="s">
        <v>220</v>
      </c>
      <c r="C133" s="55" t="s">
        <v>310</v>
      </c>
      <c r="D133" s="53"/>
      <c r="E133" s="53"/>
      <c r="F133" s="15" t="s">
        <v>330</v>
      </c>
      <c r="G133" s="24">
        <v>862</v>
      </c>
      <c r="H133" s="108">
        <v>0</v>
      </c>
      <c r="I133" s="108">
        <f>G133*AO133</f>
        <v>0</v>
      </c>
      <c r="J133" s="108">
        <f>G133*AP133</f>
        <v>0</v>
      </c>
      <c r="K133" s="108">
        <f>G133*H133</f>
        <v>0</v>
      </c>
      <c r="L133" s="109"/>
      <c r="Z133" s="101">
        <f>IF(AQ133="5",BJ133,0)</f>
        <v>0</v>
      </c>
      <c r="AB133" s="101">
        <f>IF(AQ133="1",BH133,0)</f>
        <v>0</v>
      </c>
      <c r="AC133" s="101">
        <f>IF(AQ133="1",BI133,0)</f>
        <v>0</v>
      </c>
      <c r="AD133" s="101">
        <f>IF(AQ133="7",BH133,0)</f>
        <v>0</v>
      </c>
      <c r="AE133" s="101">
        <f>IF(AQ133="7",BI133,0)</f>
        <v>0</v>
      </c>
      <c r="AF133" s="101">
        <f>IF(AQ133="2",BH133,0)</f>
        <v>0</v>
      </c>
      <c r="AG133" s="101">
        <f>IF(AQ133="2",BI133,0)</f>
        <v>0</v>
      </c>
      <c r="AH133" s="101">
        <f>IF(AQ133="0",BJ133,0)</f>
        <v>0</v>
      </c>
      <c r="AI133" s="93" t="s">
        <v>363</v>
      </c>
      <c r="AJ133" s="108">
        <f>IF(AN133=0,K133,0)</f>
        <v>0</v>
      </c>
      <c r="AK133" s="108">
        <f>IF(AN133=15,K133,0)</f>
        <v>0</v>
      </c>
      <c r="AL133" s="108">
        <f>IF(AN133=21,K133,0)</f>
        <v>0</v>
      </c>
      <c r="AN133" s="101">
        <v>21</v>
      </c>
      <c r="AO133" s="101">
        <f>H133*1</f>
        <v>0</v>
      </c>
      <c r="AP133" s="101">
        <f>H133*(1-1)</f>
        <v>0</v>
      </c>
      <c r="AQ133" s="109" t="s">
        <v>365</v>
      </c>
      <c r="AV133" s="101">
        <f>AW133+AX133</f>
        <v>0</v>
      </c>
      <c r="AW133" s="101">
        <f>G133*AO133</f>
        <v>0</v>
      </c>
      <c r="AX133" s="101">
        <f>G133*AP133</f>
        <v>0</v>
      </c>
      <c r="AY133" s="102" t="s">
        <v>371</v>
      </c>
      <c r="AZ133" s="102" t="s">
        <v>385</v>
      </c>
      <c r="BA133" s="93" t="s">
        <v>396</v>
      </c>
      <c r="BC133" s="101">
        <f>AW133+AX133</f>
        <v>0</v>
      </c>
      <c r="BD133" s="101">
        <f>H133/(100-BE133)*100</f>
        <v>0</v>
      </c>
      <c r="BE133" s="101">
        <v>0</v>
      </c>
      <c r="BF133" s="101">
        <f>133</f>
        <v>133</v>
      </c>
      <c r="BH133" s="108">
        <f>G133*AO133</f>
        <v>0</v>
      </c>
      <c r="BI133" s="108">
        <f>G133*AP133</f>
        <v>0</v>
      </c>
      <c r="BJ133" s="108">
        <f>G133*H133</f>
        <v>0</v>
      </c>
    </row>
    <row r="134" spans="1:12" ht="12.75">
      <c r="A134" s="14"/>
      <c r="B134" s="21"/>
      <c r="C134" s="50" t="s">
        <v>311</v>
      </c>
      <c r="D134" s="51"/>
      <c r="E134" s="51"/>
      <c r="F134" s="14" t="s">
        <v>56</v>
      </c>
      <c r="G134" s="14" t="s">
        <v>56</v>
      </c>
      <c r="H134" s="103" t="s">
        <v>56</v>
      </c>
      <c r="I134" s="104">
        <f>I135+I142+I144</f>
        <v>0</v>
      </c>
      <c r="J134" s="104">
        <f>J135+J142+J144</f>
        <v>0</v>
      </c>
      <c r="K134" s="104">
        <f>K135+K142+K144</f>
        <v>0</v>
      </c>
      <c r="L134" s="105"/>
    </row>
    <row r="135" spans="1:47" ht="12.75">
      <c r="A135" s="12"/>
      <c r="B135" s="20" t="s">
        <v>74</v>
      </c>
      <c r="C135" s="46" t="s">
        <v>276</v>
      </c>
      <c r="D135" s="47"/>
      <c r="E135" s="47"/>
      <c r="F135" s="12" t="s">
        <v>56</v>
      </c>
      <c r="G135" s="12" t="s">
        <v>56</v>
      </c>
      <c r="H135" s="97" t="s">
        <v>56</v>
      </c>
      <c r="I135" s="98">
        <f>SUM(I136:I141)</f>
        <v>0</v>
      </c>
      <c r="J135" s="98">
        <f>SUM(J136:J141)</f>
        <v>0</v>
      </c>
      <c r="K135" s="98">
        <f>SUM(K136:K141)</f>
        <v>0</v>
      </c>
      <c r="L135" s="93"/>
      <c r="AI135" s="93" t="s">
        <v>364</v>
      </c>
      <c r="AS135" s="98">
        <f>SUM(AJ136:AJ141)</f>
        <v>0</v>
      </c>
      <c r="AT135" s="98">
        <f>SUM(AK136:AK141)</f>
        <v>0</v>
      </c>
      <c r="AU135" s="98">
        <f>SUM(AL136:AL141)</f>
        <v>0</v>
      </c>
    </row>
    <row r="136" spans="1:62" ht="12.75">
      <c r="A136" s="13" t="s">
        <v>155</v>
      </c>
      <c r="B136" s="13" t="s">
        <v>221</v>
      </c>
      <c r="C136" s="48" t="s">
        <v>312</v>
      </c>
      <c r="D136" s="49"/>
      <c r="E136" s="49"/>
      <c r="F136" s="13" t="s">
        <v>324</v>
      </c>
      <c r="G136" s="23">
        <v>101.4</v>
      </c>
      <c r="H136" s="99">
        <v>0</v>
      </c>
      <c r="I136" s="99">
        <f aca="true" t="shared" si="164" ref="I136:I141">G136*AO136</f>
        <v>0</v>
      </c>
      <c r="J136" s="99">
        <f aca="true" t="shared" si="165" ref="J136:J141">G136*AP136</f>
        <v>0</v>
      </c>
      <c r="K136" s="99">
        <f aca="true" t="shared" si="166" ref="K136:K141">G136*H136</f>
        <v>0</v>
      </c>
      <c r="L136" s="100" t="s">
        <v>346</v>
      </c>
      <c r="Z136" s="101">
        <f aca="true" t="shared" si="167" ref="Z136:Z141">IF(AQ136="5",BJ136,0)</f>
        <v>0</v>
      </c>
      <c r="AB136" s="101">
        <f aca="true" t="shared" si="168" ref="AB136:AB141">IF(AQ136="1",BH136,0)</f>
        <v>0</v>
      </c>
      <c r="AC136" s="101">
        <f aca="true" t="shared" si="169" ref="AC136:AC141">IF(AQ136="1",BI136,0)</f>
        <v>0</v>
      </c>
      <c r="AD136" s="101">
        <f aca="true" t="shared" si="170" ref="AD136:AD141">IF(AQ136="7",BH136,0)</f>
        <v>0</v>
      </c>
      <c r="AE136" s="101">
        <f aca="true" t="shared" si="171" ref="AE136:AE141">IF(AQ136="7",BI136,0)</f>
        <v>0</v>
      </c>
      <c r="AF136" s="101">
        <f aca="true" t="shared" si="172" ref="AF136:AF141">IF(AQ136="2",BH136,0)</f>
        <v>0</v>
      </c>
      <c r="AG136" s="101">
        <f aca="true" t="shared" si="173" ref="AG136:AG141">IF(AQ136="2",BI136,0)</f>
        <v>0</v>
      </c>
      <c r="AH136" s="101">
        <f aca="true" t="shared" si="174" ref="AH136:AH141">IF(AQ136="0",BJ136,0)</f>
        <v>0</v>
      </c>
      <c r="AI136" s="93" t="s">
        <v>364</v>
      </c>
      <c r="AJ136" s="99">
        <f aca="true" t="shared" si="175" ref="AJ136:AJ141">IF(AN136=0,K136,0)</f>
        <v>0</v>
      </c>
      <c r="AK136" s="99">
        <f aca="true" t="shared" si="176" ref="AK136:AK141">IF(AN136=15,K136,0)</f>
        <v>0</v>
      </c>
      <c r="AL136" s="99">
        <f aca="true" t="shared" si="177" ref="AL136:AL141">IF(AN136=21,K136,0)</f>
        <v>0</v>
      </c>
      <c r="AN136" s="101">
        <v>21</v>
      </c>
      <c r="AO136" s="101">
        <f>H136*0.332631578947368</f>
        <v>0</v>
      </c>
      <c r="AP136" s="101">
        <f>H136*(1-0.332631578947368)</f>
        <v>0</v>
      </c>
      <c r="AQ136" s="100" t="s">
        <v>57</v>
      </c>
      <c r="AV136" s="101">
        <f aca="true" t="shared" si="178" ref="AV136:AV141">AW136+AX136</f>
        <v>0</v>
      </c>
      <c r="AW136" s="101">
        <f aca="true" t="shared" si="179" ref="AW136:AW141">G136*AO136</f>
        <v>0</v>
      </c>
      <c r="AX136" s="101">
        <f aca="true" t="shared" si="180" ref="AX136:AX141">G136*AP136</f>
        <v>0</v>
      </c>
      <c r="AY136" s="102" t="s">
        <v>369</v>
      </c>
      <c r="AZ136" s="102" t="s">
        <v>386</v>
      </c>
      <c r="BA136" s="93" t="s">
        <v>397</v>
      </c>
      <c r="BC136" s="101">
        <f aca="true" t="shared" si="181" ref="BC136:BC141">AW136+AX136</f>
        <v>0</v>
      </c>
      <c r="BD136" s="101">
        <f aca="true" t="shared" si="182" ref="BD136:BD141">H136/(100-BE136)*100</f>
        <v>0</v>
      </c>
      <c r="BE136" s="101">
        <v>0</v>
      </c>
      <c r="BF136" s="101">
        <f>136</f>
        <v>136</v>
      </c>
      <c r="BH136" s="99">
        <f aca="true" t="shared" si="183" ref="BH136:BH141">G136*AO136</f>
        <v>0</v>
      </c>
      <c r="BI136" s="99">
        <f aca="true" t="shared" si="184" ref="BI136:BI141">G136*AP136</f>
        <v>0</v>
      </c>
      <c r="BJ136" s="99">
        <f aca="true" t="shared" si="185" ref="BJ136:BJ141">G136*H136</f>
        <v>0</v>
      </c>
    </row>
    <row r="137" spans="1:62" ht="12.75">
      <c r="A137" s="13" t="s">
        <v>156</v>
      </c>
      <c r="B137" s="13" t="s">
        <v>221</v>
      </c>
      <c r="C137" s="48" t="s">
        <v>313</v>
      </c>
      <c r="D137" s="49"/>
      <c r="E137" s="49"/>
      <c r="F137" s="13" t="s">
        <v>324</v>
      </c>
      <c r="G137" s="23">
        <v>251.1</v>
      </c>
      <c r="H137" s="99">
        <v>0</v>
      </c>
      <c r="I137" s="99">
        <f t="shared" si="164"/>
        <v>0</v>
      </c>
      <c r="J137" s="99">
        <f t="shared" si="165"/>
        <v>0</v>
      </c>
      <c r="K137" s="99">
        <f t="shared" si="166"/>
        <v>0</v>
      </c>
      <c r="L137" s="100" t="s">
        <v>346</v>
      </c>
      <c r="Z137" s="101">
        <f t="shared" si="167"/>
        <v>0</v>
      </c>
      <c r="AB137" s="101">
        <f t="shared" si="168"/>
        <v>0</v>
      </c>
      <c r="AC137" s="101">
        <f t="shared" si="169"/>
        <v>0</v>
      </c>
      <c r="AD137" s="101">
        <f t="shared" si="170"/>
        <v>0</v>
      </c>
      <c r="AE137" s="101">
        <f t="shared" si="171"/>
        <v>0</v>
      </c>
      <c r="AF137" s="101">
        <f t="shared" si="172"/>
        <v>0</v>
      </c>
      <c r="AG137" s="101">
        <f t="shared" si="173"/>
        <v>0</v>
      </c>
      <c r="AH137" s="101">
        <f t="shared" si="174"/>
        <v>0</v>
      </c>
      <c r="AI137" s="93" t="s">
        <v>364</v>
      </c>
      <c r="AJ137" s="99">
        <f t="shared" si="175"/>
        <v>0</v>
      </c>
      <c r="AK137" s="99">
        <f t="shared" si="176"/>
        <v>0</v>
      </c>
      <c r="AL137" s="99">
        <f t="shared" si="177"/>
        <v>0</v>
      </c>
      <c r="AN137" s="101">
        <v>21</v>
      </c>
      <c r="AO137" s="101">
        <f>H137*0.332631578947368</f>
        <v>0</v>
      </c>
      <c r="AP137" s="101">
        <f>H137*(1-0.332631578947368)</f>
        <v>0</v>
      </c>
      <c r="AQ137" s="100" t="s">
        <v>57</v>
      </c>
      <c r="AV137" s="101">
        <f t="shared" si="178"/>
        <v>0</v>
      </c>
      <c r="AW137" s="101">
        <f t="shared" si="179"/>
        <v>0</v>
      </c>
      <c r="AX137" s="101">
        <f t="shared" si="180"/>
        <v>0</v>
      </c>
      <c r="AY137" s="102" t="s">
        <v>369</v>
      </c>
      <c r="AZ137" s="102" t="s">
        <v>386</v>
      </c>
      <c r="BA137" s="93" t="s">
        <v>397</v>
      </c>
      <c r="BC137" s="101">
        <f t="shared" si="181"/>
        <v>0</v>
      </c>
      <c r="BD137" s="101">
        <f t="shared" si="182"/>
        <v>0</v>
      </c>
      <c r="BE137" s="101">
        <v>0</v>
      </c>
      <c r="BF137" s="101">
        <f>137</f>
        <v>137</v>
      </c>
      <c r="BH137" s="99">
        <f t="shared" si="183"/>
        <v>0</v>
      </c>
      <c r="BI137" s="99">
        <f t="shared" si="184"/>
        <v>0</v>
      </c>
      <c r="BJ137" s="99">
        <f t="shared" si="185"/>
        <v>0</v>
      </c>
    </row>
    <row r="138" spans="1:62" ht="12.75">
      <c r="A138" s="13" t="s">
        <v>157</v>
      </c>
      <c r="B138" s="13" t="s">
        <v>222</v>
      </c>
      <c r="C138" s="48" t="s">
        <v>314</v>
      </c>
      <c r="D138" s="49"/>
      <c r="E138" s="49"/>
      <c r="F138" s="13" t="s">
        <v>327</v>
      </c>
      <c r="G138" s="23">
        <v>252</v>
      </c>
      <c r="H138" s="99">
        <v>0</v>
      </c>
      <c r="I138" s="99">
        <f t="shared" si="164"/>
        <v>0</v>
      </c>
      <c r="J138" s="99">
        <f t="shared" si="165"/>
        <v>0</v>
      </c>
      <c r="K138" s="99">
        <f t="shared" si="166"/>
        <v>0</v>
      </c>
      <c r="L138" s="100"/>
      <c r="Z138" s="101">
        <f t="shared" si="167"/>
        <v>0</v>
      </c>
      <c r="AB138" s="101">
        <f t="shared" si="168"/>
        <v>0</v>
      </c>
      <c r="AC138" s="101">
        <f t="shared" si="169"/>
        <v>0</v>
      </c>
      <c r="AD138" s="101">
        <f t="shared" si="170"/>
        <v>0</v>
      </c>
      <c r="AE138" s="101">
        <f t="shared" si="171"/>
        <v>0</v>
      </c>
      <c r="AF138" s="101">
        <f t="shared" si="172"/>
        <v>0</v>
      </c>
      <c r="AG138" s="101">
        <f t="shared" si="173"/>
        <v>0</v>
      </c>
      <c r="AH138" s="101">
        <f t="shared" si="174"/>
        <v>0</v>
      </c>
      <c r="AI138" s="93" t="s">
        <v>364</v>
      </c>
      <c r="AJ138" s="99">
        <f t="shared" si="175"/>
        <v>0</v>
      </c>
      <c r="AK138" s="99">
        <f t="shared" si="176"/>
        <v>0</v>
      </c>
      <c r="AL138" s="99">
        <f t="shared" si="177"/>
        <v>0</v>
      </c>
      <c r="AN138" s="101">
        <v>21</v>
      </c>
      <c r="AO138" s="101">
        <f>H138*1</f>
        <v>0</v>
      </c>
      <c r="AP138" s="101">
        <f>H138*(1-1)</f>
        <v>0</v>
      </c>
      <c r="AQ138" s="100" t="s">
        <v>57</v>
      </c>
      <c r="AV138" s="101">
        <f t="shared" si="178"/>
        <v>0</v>
      </c>
      <c r="AW138" s="101">
        <f t="shared" si="179"/>
        <v>0</v>
      </c>
      <c r="AX138" s="101">
        <f t="shared" si="180"/>
        <v>0</v>
      </c>
      <c r="AY138" s="102" t="s">
        <v>369</v>
      </c>
      <c r="AZ138" s="102" t="s">
        <v>386</v>
      </c>
      <c r="BA138" s="93" t="s">
        <v>397</v>
      </c>
      <c r="BC138" s="101">
        <f t="shared" si="181"/>
        <v>0</v>
      </c>
      <c r="BD138" s="101">
        <f t="shared" si="182"/>
        <v>0</v>
      </c>
      <c r="BE138" s="101">
        <v>0</v>
      </c>
      <c r="BF138" s="101">
        <f>138</f>
        <v>138</v>
      </c>
      <c r="BH138" s="99">
        <f t="shared" si="183"/>
        <v>0</v>
      </c>
      <c r="BI138" s="99">
        <f t="shared" si="184"/>
        <v>0</v>
      </c>
      <c r="BJ138" s="99">
        <f t="shared" si="185"/>
        <v>0</v>
      </c>
    </row>
    <row r="139" spans="1:62" ht="12.75">
      <c r="A139" s="30" t="s">
        <v>158</v>
      </c>
      <c r="B139" s="30" t="s">
        <v>223</v>
      </c>
      <c r="C139" s="56" t="s">
        <v>315</v>
      </c>
      <c r="D139" s="49"/>
      <c r="E139" s="57"/>
      <c r="F139" s="30" t="s">
        <v>327</v>
      </c>
      <c r="G139" s="31">
        <v>2298</v>
      </c>
      <c r="H139" s="110">
        <v>0</v>
      </c>
      <c r="I139" s="110">
        <f t="shared" si="164"/>
        <v>0</v>
      </c>
      <c r="J139" s="110">
        <f t="shared" si="165"/>
        <v>0</v>
      </c>
      <c r="K139" s="110">
        <f t="shared" si="166"/>
        <v>0</v>
      </c>
      <c r="L139" s="111"/>
      <c r="Z139" s="101">
        <f t="shared" si="167"/>
        <v>0</v>
      </c>
      <c r="AB139" s="101">
        <f t="shared" si="168"/>
        <v>0</v>
      </c>
      <c r="AC139" s="101">
        <f t="shared" si="169"/>
        <v>0</v>
      </c>
      <c r="AD139" s="101">
        <f t="shared" si="170"/>
        <v>0</v>
      </c>
      <c r="AE139" s="101">
        <f t="shared" si="171"/>
        <v>0</v>
      </c>
      <c r="AF139" s="101">
        <f t="shared" si="172"/>
        <v>0</v>
      </c>
      <c r="AG139" s="101">
        <f t="shared" si="173"/>
        <v>0</v>
      </c>
      <c r="AH139" s="101">
        <f t="shared" si="174"/>
        <v>0</v>
      </c>
      <c r="AI139" s="93" t="s">
        <v>364</v>
      </c>
      <c r="AJ139" s="99">
        <f t="shared" si="175"/>
        <v>0</v>
      </c>
      <c r="AK139" s="99">
        <f t="shared" si="176"/>
        <v>0</v>
      </c>
      <c r="AL139" s="99">
        <f t="shared" si="177"/>
        <v>0</v>
      </c>
      <c r="AN139" s="101">
        <v>21</v>
      </c>
      <c r="AO139" s="101">
        <f>H139*0</f>
        <v>0</v>
      </c>
      <c r="AP139" s="101">
        <f>H139*(1-0)</f>
        <v>0</v>
      </c>
      <c r="AQ139" s="100" t="s">
        <v>57</v>
      </c>
      <c r="AV139" s="101">
        <f t="shared" si="178"/>
        <v>0</v>
      </c>
      <c r="AW139" s="101">
        <f t="shared" si="179"/>
        <v>0</v>
      </c>
      <c r="AX139" s="101">
        <f t="shared" si="180"/>
        <v>0</v>
      </c>
      <c r="AY139" s="102" t="s">
        <v>369</v>
      </c>
      <c r="AZ139" s="102" t="s">
        <v>386</v>
      </c>
      <c r="BA139" s="93" t="s">
        <v>397</v>
      </c>
      <c r="BC139" s="101">
        <f t="shared" si="181"/>
        <v>0</v>
      </c>
      <c r="BD139" s="101">
        <f t="shared" si="182"/>
        <v>0</v>
      </c>
      <c r="BE139" s="101">
        <v>0</v>
      </c>
      <c r="BF139" s="101">
        <f>139</f>
        <v>139</v>
      </c>
      <c r="BH139" s="99">
        <f t="shared" si="183"/>
        <v>0</v>
      </c>
      <c r="BI139" s="99">
        <f t="shared" si="184"/>
        <v>0</v>
      </c>
      <c r="BJ139" s="99">
        <f t="shared" si="185"/>
        <v>0</v>
      </c>
    </row>
    <row r="140" spans="1:62" ht="12.75">
      <c r="A140" s="13" t="s">
        <v>159</v>
      </c>
      <c r="B140" s="13" t="s">
        <v>224</v>
      </c>
      <c r="C140" s="48" t="s">
        <v>316</v>
      </c>
      <c r="D140" s="49"/>
      <c r="E140" s="49"/>
      <c r="F140" s="13" t="s">
        <v>327</v>
      </c>
      <c r="G140" s="23">
        <v>75</v>
      </c>
      <c r="H140" s="99">
        <v>0</v>
      </c>
      <c r="I140" s="99">
        <f t="shared" si="164"/>
        <v>0</v>
      </c>
      <c r="J140" s="99">
        <f t="shared" si="165"/>
        <v>0</v>
      </c>
      <c r="K140" s="99">
        <f t="shared" si="166"/>
        <v>0</v>
      </c>
      <c r="L140" s="100"/>
      <c r="Z140" s="101">
        <f t="shared" si="167"/>
        <v>0</v>
      </c>
      <c r="AB140" s="101">
        <f t="shared" si="168"/>
        <v>0</v>
      </c>
      <c r="AC140" s="101">
        <f t="shared" si="169"/>
        <v>0</v>
      </c>
      <c r="AD140" s="101">
        <f t="shared" si="170"/>
        <v>0</v>
      </c>
      <c r="AE140" s="101">
        <f t="shared" si="171"/>
        <v>0</v>
      </c>
      <c r="AF140" s="101">
        <f t="shared" si="172"/>
        <v>0</v>
      </c>
      <c r="AG140" s="101">
        <f t="shared" si="173"/>
        <v>0</v>
      </c>
      <c r="AH140" s="101">
        <f t="shared" si="174"/>
        <v>0</v>
      </c>
      <c r="AI140" s="93" t="s">
        <v>364</v>
      </c>
      <c r="AJ140" s="99">
        <f t="shared" si="175"/>
        <v>0</v>
      </c>
      <c r="AK140" s="99">
        <f t="shared" si="176"/>
        <v>0</v>
      </c>
      <c r="AL140" s="99">
        <f t="shared" si="177"/>
        <v>0</v>
      </c>
      <c r="AN140" s="101">
        <v>21</v>
      </c>
      <c r="AO140" s="101">
        <f>H140*1</f>
        <v>0</v>
      </c>
      <c r="AP140" s="101">
        <f>H140*(1-1)</f>
        <v>0</v>
      </c>
      <c r="AQ140" s="100" t="s">
        <v>57</v>
      </c>
      <c r="AV140" s="101">
        <f t="shared" si="178"/>
        <v>0</v>
      </c>
      <c r="AW140" s="101">
        <f t="shared" si="179"/>
        <v>0</v>
      </c>
      <c r="AX140" s="101">
        <f t="shared" si="180"/>
        <v>0</v>
      </c>
      <c r="AY140" s="102" t="s">
        <v>369</v>
      </c>
      <c r="AZ140" s="102" t="s">
        <v>386</v>
      </c>
      <c r="BA140" s="93" t="s">
        <v>397</v>
      </c>
      <c r="BC140" s="101">
        <f t="shared" si="181"/>
        <v>0</v>
      </c>
      <c r="BD140" s="101">
        <f t="shared" si="182"/>
        <v>0</v>
      </c>
      <c r="BE140" s="101">
        <v>0</v>
      </c>
      <c r="BF140" s="101">
        <f>140</f>
        <v>140</v>
      </c>
      <c r="BH140" s="99">
        <f t="shared" si="183"/>
        <v>0</v>
      </c>
      <c r="BI140" s="99">
        <f t="shared" si="184"/>
        <v>0</v>
      </c>
      <c r="BJ140" s="99">
        <f t="shared" si="185"/>
        <v>0</v>
      </c>
    </row>
    <row r="141" spans="1:62" ht="12.75">
      <c r="A141" s="13" t="s">
        <v>160</v>
      </c>
      <c r="B141" s="13" t="s">
        <v>204</v>
      </c>
      <c r="C141" s="48" t="s">
        <v>317</v>
      </c>
      <c r="D141" s="49"/>
      <c r="E141" s="49"/>
      <c r="F141" s="13" t="s">
        <v>324</v>
      </c>
      <c r="G141" s="23">
        <v>352.5</v>
      </c>
      <c r="H141" s="99">
        <v>0</v>
      </c>
      <c r="I141" s="99">
        <f t="shared" si="164"/>
        <v>0</v>
      </c>
      <c r="J141" s="99">
        <f t="shared" si="165"/>
        <v>0</v>
      </c>
      <c r="K141" s="99">
        <f t="shared" si="166"/>
        <v>0</v>
      </c>
      <c r="L141" s="100" t="s">
        <v>346</v>
      </c>
      <c r="Z141" s="101">
        <f t="shared" si="167"/>
        <v>0</v>
      </c>
      <c r="AB141" s="101">
        <f t="shared" si="168"/>
        <v>0</v>
      </c>
      <c r="AC141" s="101">
        <f t="shared" si="169"/>
        <v>0</v>
      </c>
      <c r="AD141" s="101">
        <f t="shared" si="170"/>
        <v>0</v>
      </c>
      <c r="AE141" s="101">
        <f t="shared" si="171"/>
        <v>0</v>
      </c>
      <c r="AF141" s="101">
        <f t="shared" si="172"/>
        <v>0</v>
      </c>
      <c r="AG141" s="101">
        <f t="shared" si="173"/>
        <v>0</v>
      </c>
      <c r="AH141" s="101">
        <f t="shared" si="174"/>
        <v>0</v>
      </c>
      <c r="AI141" s="93" t="s">
        <v>364</v>
      </c>
      <c r="AJ141" s="99">
        <f t="shared" si="175"/>
        <v>0</v>
      </c>
      <c r="AK141" s="99">
        <f t="shared" si="176"/>
        <v>0</v>
      </c>
      <c r="AL141" s="99">
        <f t="shared" si="177"/>
        <v>0</v>
      </c>
      <c r="AN141" s="101">
        <v>21</v>
      </c>
      <c r="AO141" s="101">
        <f>H141*0</f>
        <v>0</v>
      </c>
      <c r="AP141" s="101">
        <f>H141*(1-0)</f>
        <v>0</v>
      </c>
      <c r="AQ141" s="100" t="s">
        <v>57</v>
      </c>
      <c r="AV141" s="101">
        <f t="shared" si="178"/>
        <v>0</v>
      </c>
      <c r="AW141" s="101">
        <f t="shared" si="179"/>
        <v>0</v>
      </c>
      <c r="AX141" s="101">
        <f t="shared" si="180"/>
        <v>0</v>
      </c>
      <c r="AY141" s="102" t="s">
        <v>369</v>
      </c>
      <c r="AZ141" s="102" t="s">
        <v>386</v>
      </c>
      <c r="BA141" s="93" t="s">
        <v>397</v>
      </c>
      <c r="BC141" s="101">
        <f t="shared" si="181"/>
        <v>0</v>
      </c>
      <c r="BD141" s="101">
        <f t="shared" si="182"/>
        <v>0</v>
      </c>
      <c r="BE141" s="101">
        <v>0</v>
      </c>
      <c r="BF141" s="101">
        <f>141</f>
        <v>141</v>
      </c>
      <c r="BH141" s="99">
        <f t="shared" si="183"/>
        <v>0</v>
      </c>
      <c r="BI141" s="99">
        <f t="shared" si="184"/>
        <v>0</v>
      </c>
      <c r="BJ141" s="99">
        <f t="shared" si="185"/>
        <v>0</v>
      </c>
    </row>
    <row r="142" spans="1:47" ht="12.75">
      <c r="A142" s="12"/>
      <c r="B142" s="20" t="s">
        <v>205</v>
      </c>
      <c r="C142" s="46" t="s">
        <v>283</v>
      </c>
      <c r="D142" s="47"/>
      <c r="E142" s="47"/>
      <c r="F142" s="12" t="s">
        <v>56</v>
      </c>
      <c r="G142" s="12" t="s">
        <v>56</v>
      </c>
      <c r="H142" s="97" t="s">
        <v>56</v>
      </c>
      <c r="I142" s="98">
        <f>SUM(I143:I143)</f>
        <v>0</v>
      </c>
      <c r="J142" s="98">
        <f>SUM(J143:J143)</f>
        <v>0</v>
      </c>
      <c r="K142" s="98">
        <f>SUM(K143:K143)</f>
        <v>0</v>
      </c>
      <c r="L142" s="93"/>
      <c r="AI142" s="93" t="s">
        <v>364</v>
      </c>
      <c r="AS142" s="98">
        <f>SUM(AJ143:AJ143)</f>
        <v>0</v>
      </c>
      <c r="AT142" s="98">
        <f>SUM(AK143:AK143)</f>
        <v>0</v>
      </c>
      <c r="AU142" s="98">
        <f>SUM(AL143:AL143)</f>
        <v>0</v>
      </c>
    </row>
    <row r="143" spans="1:62" ht="12.75">
      <c r="A143" s="13" t="s">
        <v>161</v>
      </c>
      <c r="B143" s="13" t="s">
        <v>206</v>
      </c>
      <c r="C143" s="48" t="s">
        <v>284</v>
      </c>
      <c r="D143" s="49"/>
      <c r="E143" s="49"/>
      <c r="F143" s="13" t="s">
        <v>328</v>
      </c>
      <c r="G143" s="23">
        <v>0.08</v>
      </c>
      <c r="H143" s="99">
        <v>0</v>
      </c>
      <c r="I143" s="99">
        <f>G143*AO143</f>
        <v>0</v>
      </c>
      <c r="J143" s="99">
        <f>G143*AP143</f>
        <v>0</v>
      </c>
      <c r="K143" s="99">
        <f>G143*H143</f>
        <v>0</v>
      </c>
      <c r="L143" s="100" t="s">
        <v>346</v>
      </c>
      <c r="Z143" s="101">
        <f>IF(AQ143="5",BJ143,0)</f>
        <v>0</v>
      </c>
      <c r="AB143" s="101">
        <f>IF(AQ143="1",BH143,0)</f>
        <v>0</v>
      </c>
      <c r="AC143" s="101">
        <f>IF(AQ143="1",BI143,0)</f>
        <v>0</v>
      </c>
      <c r="AD143" s="101">
        <f>IF(AQ143="7",BH143,0)</f>
        <v>0</v>
      </c>
      <c r="AE143" s="101">
        <f>IF(AQ143="7",BI143,0)</f>
        <v>0</v>
      </c>
      <c r="AF143" s="101">
        <f>IF(AQ143="2",BH143,0)</f>
        <v>0</v>
      </c>
      <c r="AG143" s="101">
        <f>IF(AQ143="2",BI143,0)</f>
        <v>0</v>
      </c>
      <c r="AH143" s="101">
        <f>IF(AQ143="0",BJ143,0)</f>
        <v>0</v>
      </c>
      <c r="AI143" s="93" t="s">
        <v>364</v>
      </c>
      <c r="AJ143" s="99">
        <f>IF(AN143=0,K143,0)</f>
        <v>0</v>
      </c>
      <c r="AK143" s="99">
        <f>IF(AN143=15,K143,0)</f>
        <v>0</v>
      </c>
      <c r="AL143" s="99">
        <f>IF(AN143=21,K143,0)</f>
        <v>0</v>
      </c>
      <c r="AN143" s="101">
        <v>21</v>
      </c>
      <c r="AO143" s="101">
        <f>H143*0</f>
        <v>0</v>
      </c>
      <c r="AP143" s="101">
        <f>H143*(1-0)</f>
        <v>0</v>
      </c>
      <c r="AQ143" s="100" t="s">
        <v>61</v>
      </c>
      <c r="AV143" s="101">
        <f>AW143+AX143</f>
        <v>0</v>
      </c>
      <c r="AW143" s="101">
        <f>G143*AO143</f>
        <v>0</v>
      </c>
      <c r="AX143" s="101">
        <f>G143*AP143</f>
        <v>0</v>
      </c>
      <c r="AY143" s="102" t="s">
        <v>370</v>
      </c>
      <c r="AZ143" s="102" t="s">
        <v>387</v>
      </c>
      <c r="BA143" s="93" t="s">
        <v>397</v>
      </c>
      <c r="BC143" s="101">
        <f>AW143+AX143</f>
        <v>0</v>
      </c>
      <c r="BD143" s="101">
        <f>H143/(100-BE143)*100</f>
        <v>0</v>
      </c>
      <c r="BE143" s="101">
        <v>0</v>
      </c>
      <c r="BF143" s="101">
        <f>143</f>
        <v>143</v>
      </c>
      <c r="BH143" s="99">
        <f>G143*AO143</f>
        <v>0</v>
      </c>
      <c r="BI143" s="99">
        <f>G143*AP143</f>
        <v>0</v>
      </c>
      <c r="BJ143" s="99">
        <f>G143*H143</f>
        <v>0</v>
      </c>
    </row>
    <row r="144" spans="1:47" ht="12.75">
      <c r="A144" s="12"/>
      <c r="B144" s="20"/>
      <c r="C144" s="46" t="s">
        <v>10</v>
      </c>
      <c r="D144" s="47"/>
      <c r="E144" s="47"/>
      <c r="F144" s="12" t="s">
        <v>56</v>
      </c>
      <c r="G144" s="12" t="s">
        <v>56</v>
      </c>
      <c r="H144" s="97" t="s">
        <v>56</v>
      </c>
      <c r="I144" s="98">
        <f>SUM(I145:I145)</f>
        <v>0</v>
      </c>
      <c r="J144" s="98">
        <f>SUM(J145:J145)</f>
        <v>0</v>
      </c>
      <c r="K144" s="98">
        <f>SUM(K145:K145)</f>
        <v>0</v>
      </c>
      <c r="L144" s="93"/>
      <c r="AI144" s="93" t="s">
        <v>364</v>
      </c>
      <c r="AS144" s="98">
        <f>SUM(AJ145:AJ145)</f>
        <v>0</v>
      </c>
      <c r="AT144" s="98">
        <f>SUM(AK145:AK145)</f>
        <v>0</v>
      </c>
      <c r="AU144" s="98">
        <f>SUM(AL145:AL145)</f>
        <v>0</v>
      </c>
    </row>
    <row r="145" spans="1:62" ht="12.75">
      <c r="A145" s="16" t="s">
        <v>53</v>
      </c>
      <c r="B145" s="16" t="s">
        <v>212</v>
      </c>
      <c r="C145" s="58" t="s">
        <v>318</v>
      </c>
      <c r="D145" s="59"/>
      <c r="E145" s="59"/>
      <c r="F145" s="16" t="s">
        <v>324</v>
      </c>
      <c r="G145" s="25">
        <v>352.5</v>
      </c>
      <c r="H145" s="112">
        <v>0</v>
      </c>
      <c r="I145" s="112">
        <f>G145*AO145</f>
        <v>0</v>
      </c>
      <c r="J145" s="112">
        <f>G145*AP145</f>
        <v>0</v>
      </c>
      <c r="K145" s="112">
        <f>G145*H145</f>
        <v>0</v>
      </c>
      <c r="L145" s="113" t="s">
        <v>345</v>
      </c>
      <c r="Z145" s="101">
        <f>IF(AQ145="5",BJ145,0)</f>
        <v>0</v>
      </c>
      <c r="AB145" s="101">
        <f>IF(AQ145="1",BH145,0)</f>
        <v>0</v>
      </c>
      <c r="AC145" s="101">
        <f>IF(AQ145="1",BI145,0)</f>
        <v>0</v>
      </c>
      <c r="AD145" s="101">
        <f>IF(AQ145="7",BH145,0)</f>
        <v>0</v>
      </c>
      <c r="AE145" s="101">
        <f>IF(AQ145="7",BI145,0)</f>
        <v>0</v>
      </c>
      <c r="AF145" s="101">
        <f>IF(AQ145="2",BH145,0)</f>
        <v>0</v>
      </c>
      <c r="AG145" s="101">
        <f>IF(AQ145="2",BI145,0)</f>
        <v>0</v>
      </c>
      <c r="AH145" s="101">
        <f>IF(AQ145="0",BJ145,0)</f>
        <v>0</v>
      </c>
      <c r="AI145" s="93" t="s">
        <v>364</v>
      </c>
      <c r="AJ145" s="108">
        <f>IF(AN145=0,K145,0)</f>
        <v>0</v>
      </c>
      <c r="AK145" s="108">
        <f>IF(AN145=15,K145,0)</f>
        <v>0</v>
      </c>
      <c r="AL145" s="108">
        <f>IF(AN145=21,K145,0)</f>
        <v>0</v>
      </c>
      <c r="AN145" s="101">
        <v>21</v>
      </c>
      <c r="AO145" s="101">
        <f>H145*1</f>
        <v>0</v>
      </c>
      <c r="AP145" s="101">
        <f>H145*(1-1)</f>
        <v>0</v>
      </c>
      <c r="AQ145" s="109" t="s">
        <v>365</v>
      </c>
      <c r="AV145" s="101">
        <f>AW145+AX145</f>
        <v>0</v>
      </c>
      <c r="AW145" s="101">
        <f>G145*AO145</f>
        <v>0</v>
      </c>
      <c r="AX145" s="101">
        <f>G145*AP145</f>
        <v>0</v>
      </c>
      <c r="AY145" s="102" t="s">
        <v>371</v>
      </c>
      <c r="AZ145" s="102" t="s">
        <v>388</v>
      </c>
      <c r="BA145" s="93" t="s">
        <v>397</v>
      </c>
      <c r="BC145" s="101">
        <f>AW145+AX145</f>
        <v>0</v>
      </c>
      <c r="BD145" s="101">
        <f>H145/(100-BE145)*100</f>
        <v>0</v>
      </c>
      <c r="BE145" s="101">
        <v>0</v>
      </c>
      <c r="BF145" s="101">
        <f>145</f>
        <v>145</v>
      </c>
      <c r="BH145" s="108">
        <f>G145*AO145</f>
        <v>0</v>
      </c>
      <c r="BI145" s="108">
        <f>G145*AP145</f>
        <v>0</v>
      </c>
      <c r="BJ145" s="108">
        <f>G145*H145</f>
        <v>0</v>
      </c>
    </row>
    <row r="146" spans="1:12" ht="12.75">
      <c r="A146" s="114"/>
      <c r="B146" s="114"/>
      <c r="C146" s="114"/>
      <c r="D146" s="114"/>
      <c r="E146" s="114"/>
      <c r="F146" s="114"/>
      <c r="G146" s="114"/>
      <c r="H146" s="114"/>
      <c r="I146" s="115" t="s">
        <v>340</v>
      </c>
      <c r="J146" s="116"/>
      <c r="K146" s="117">
        <f>K13+K32+K53+K57+K61+K78+K80+K87+K89+K98+K100+K107+K109+K124+K130+K132+K135+K142+K144</f>
        <v>0</v>
      </c>
      <c r="L146" s="114"/>
    </row>
    <row r="147" ht="10.5" customHeight="1">
      <c r="A147" s="118" t="s">
        <v>18</v>
      </c>
    </row>
    <row r="148" spans="1:12" ht="12.75" customHeight="1">
      <c r="A148" s="77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</sheetData>
  <sheetProtection password="CC09" sheet="1" objects="1" scenarios="1" selectLockedCells="1"/>
  <mergeCells count="164">
    <mergeCell ref="A148:L148"/>
    <mergeCell ref="C141:E141"/>
    <mergeCell ref="C142:E142"/>
    <mergeCell ref="C143:E143"/>
    <mergeCell ref="C144:E144"/>
    <mergeCell ref="C145:E145"/>
    <mergeCell ref="I146:J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64" customWidth="1"/>
    <col min="2" max="2" width="14.28125" style="64" customWidth="1"/>
    <col min="3" max="3" width="161.421875" style="64" customWidth="1"/>
    <col min="4" max="5" width="12.140625" style="64" customWidth="1"/>
    <col min="6" max="6" width="4.7109375" style="64" customWidth="1"/>
    <col min="7" max="7" width="12.8515625" style="64" customWidth="1"/>
    <col min="8" max="8" width="12.00390625" style="64" customWidth="1"/>
    <col min="9" max="11" width="14.28125" style="64" customWidth="1"/>
    <col min="12" max="12" width="14.7109375" style="64" customWidth="1"/>
    <col min="13" max="24" width="11.57421875" style="64" customWidth="1"/>
    <col min="25" max="62" width="9.7109375" style="64" hidden="1" customWidth="1"/>
    <col min="63" max="16384" width="11.57421875" style="64" customWidth="1"/>
  </cols>
  <sheetData>
    <row r="1" spans="1:12" ht="72.75" customHeight="1">
      <c r="A1" s="62" t="s">
        <v>401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5" t="s">
        <v>0</v>
      </c>
      <c r="B2" s="66"/>
      <c r="C2" s="67" t="str">
        <f>'Stavební rozpočet'!C2</f>
        <v>Revitalizace krajinářského parku Mošnice v Kladrubech nad Labem - podpora biodiverzity</v>
      </c>
      <c r="D2" s="68" t="s">
        <v>319</v>
      </c>
      <c r="E2" s="66"/>
      <c r="F2" s="69" t="str">
        <f>'Stavební rozpočet'!F2</f>
        <v> </v>
      </c>
      <c r="G2" s="66"/>
      <c r="H2" s="69" t="s">
        <v>29</v>
      </c>
      <c r="I2" s="69" t="str">
        <f>'Stavební rozpočet'!I2</f>
        <v>Národní hřebčín Kladruby nad Labem</v>
      </c>
      <c r="J2" s="66"/>
      <c r="K2" s="66"/>
      <c r="L2" s="70"/>
      <c r="M2" s="71"/>
    </row>
    <row r="3" spans="1:13" ht="12.75">
      <c r="A3" s="72"/>
      <c r="B3" s="73"/>
      <c r="C3" s="74"/>
      <c r="D3" s="73"/>
      <c r="E3" s="73"/>
      <c r="F3" s="73"/>
      <c r="G3" s="73"/>
      <c r="H3" s="73"/>
      <c r="I3" s="73"/>
      <c r="J3" s="73"/>
      <c r="K3" s="73"/>
      <c r="L3" s="75"/>
      <c r="M3" s="71"/>
    </row>
    <row r="4" spans="1:13" ht="12.75">
      <c r="A4" s="76" t="s">
        <v>1</v>
      </c>
      <c r="B4" s="73"/>
      <c r="C4" s="77" t="str">
        <f>'Stavební rozpočet'!C4</f>
        <v>Kácení stromů, odstr. keřů, návrh pěstebních opatření, výsadby dřevin, výsev trávníku</v>
      </c>
      <c r="D4" s="78" t="s">
        <v>3</v>
      </c>
      <c r="E4" s="73"/>
      <c r="F4" s="77" t="str">
        <f>'Stavební rozpočet'!F4</f>
        <v> </v>
      </c>
      <c r="G4" s="73"/>
      <c r="H4" s="77" t="s">
        <v>30</v>
      </c>
      <c r="I4" s="77" t="str">
        <f>'Stavební rozpočet'!I4</f>
        <v>Ing. Přemysl Krejčiřík, Ph.D.</v>
      </c>
      <c r="J4" s="73"/>
      <c r="K4" s="73"/>
      <c r="L4" s="75"/>
      <c r="M4" s="71"/>
    </row>
    <row r="5" spans="1:13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5"/>
      <c r="M5" s="71"/>
    </row>
    <row r="6" spans="1:13" ht="12.75">
      <c r="A6" s="76" t="s">
        <v>2</v>
      </c>
      <c r="B6" s="73"/>
      <c r="C6" s="77" t="str">
        <f>'Stavební rozpočet'!C6</f>
        <v>Kladruby nad Labem</v>
      </c>
      <c r="D6" s="78" t="s">
        <v>32</v>
      </c>
      <c r="E6" s="73"/>
      <c r="F6" s="77" t="str">
        <f>'Stavební rozpočet'!F6</f>
        <v> </v>
      </c>
      <c r="G6" s="73"/>
      <c r="H6" s="77" t="s">
        <v>31</v>
      </c>
      <c r="I6" s="77" t="str">
        <f>'Stavební rozpočet'!I6</f>
        <v> </v>
      </c>
      <c r="J6" s="73"/>
      <c r="K6" s="73"/>
      <c r="L6" s="75"/>
      <c r="M6" s="71"/>
    </row>
    <row r="7" spans="1:13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5"/>
      <c r="M7" s="71"/>
    </row>
    <row r="8" spans="1:13" ht="12.75">
      <c r="A8" s="76" t="s">
        <v>4</v>
      </c>
      <c r="B8" s="73"/>
      <c r="C8" s="77" t="str">
        <f>'Stavební rozpočet'!C8</f>
        <v> </v>
      </c>
      <c r="D8" s="78" t="s">
        <v>320</v>
      </c>
      <c r="E8" s="73"/>
      <c r="F8" s="77" t="str">
        <f>'Stavební rozpočet'!F8</f>
        <v>15.03.2018</v>
      </c>
      <c r="G8" s="73"/>
      <c r="H8" s="77" t="s">
        <v>33</v>
      </c>
      <c r="I8" s="77" t="str">
        <f>'Stavební rozpočet'!I8</f>
        <v>Ing. Martina Zimmermanová</v>
      </c>
      <c r="J8" s="73"/>
      <c r="K8" s="73"/>
      <c r="L8" s="75"/>
      <c r="M8" s="71"/>
    </row>
    <row r="9" spans="1:13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71"/>
    </row>
    <row r="10" spans="1:13" ht="12.75">
      <c r="A10" s="9" t="s">
        <v>55</v>
      </c>
      <c r="B10" s="17" t="s">
        <v>162</v>
      </c>
      <c r="C10" s="38" t="s">
        <v>228</v>
      </c>
      <c r="D10" s="39"/>
      <c r="E10" s="40"/>
      <c r="F10" s="17" t="s">
        <v>322</v>
      </c>
      <c r="G10" s="22" t="s">
        <v>331</v>
      </c>
      <c r="H10" s="82" t="s">
        <v>332</v>
      </c>
      <c r="I10" s="83" t="s">
        <v>338</v>
      </c>
      <c r="J10" s="84"/>
      <c r="K10" s="85"/>
      <c r="L10" s="86" t="s">
        <v>342</v>
      </c>
      <c r="M10" s="87"/>
    </row>
    <row r="11" spans="1:62" ht="12.75">
      <c r="A11" s="10" t="s">
        <v>56</v>
      </c>
      <c r="B11" s="18" t="s">
        <v>56</v>
      </c>
      <c r="C11" s="41" t="s">
        <v>229</v>
      </c>
      <c r="D11" s="42"/>
      <c r="E11" s="43"/>
      <c r="F11" s="18" t="s">
        <v>56</v>
      </c>
      <c r="G11" s="18" t="s">
        <v>56</v>
      </c>
      <c r="H11" s="88" t="s">
        <v>333</v>
      </c>
      <c r="I11" s="89" t="s">
        <v>339</v>
      </c>
      <c r="J11" s="90" t="s">
        <v>21</v>
      </c>
      <c r="K11" s="91" t="s">
        <v>341</v>
      </c>
      <c r="L11" s="92" t="s">
        <v>343</v>
      </c>
      <c r="M11" s="87"/>
      <c r="Z11" s="93" t="s">
        <v>347</v>
      </c>
      <c r="AA11" s="93" t="s">
        <v>348</v>
      </c>
      <c r="AB11" s="93" t="s">
        <v>349</v>
      </c>
      <c r="AC11" s="93" t="s">
        <v>350</v>
      </c>
      <c r="AD11" s="93" t="s">
        <v>351</v>
      </c>
      <c r="AE11" s="93" t="s">
        <v>352</v>
      </c>
      <c r="AF11" s="93" t="s">
        <v>353</v>
      </c>
      <c r="AG11" s="93" t="s">
        <v>354</v>
      </c>
      <c r="AH11" s="93" t="s">
        <v>355</v>
      </c>
      <c r="BH11" s="93" t="s">
        <v>398</v>
      </c>
      <c r="BI11" s="93" t="s">
        <v>399</v>
      </c>
      <c r="BJ11" s="93" t="s">
        <v>400</v>
      </c>
    </row>
    <row r="12" spans="1:12" ht="12.75">
      <c r="A12" s="11"/>
      <c r="B12" s="19"/>
      <c r="C12" s="44" t="s">
        <v>230</v>
      </c>
      <c r="D12" s="45"/>
      <c r="E12" s="45"/>
      <c r="F12" s="11" t="s">
        <v>56</v>
      </c>
      <c r="G12" s="11" t="s">
        <v>56</v>
      </c>
      <c r="H12" s="94" t="s">
        <v>56</v>
      </c>
      <c r="I12" s="95">
        <f>I13</f>
        <v>0</v>
      </c>
      <c r="J12" s="95">
        <f>J13</f>
        <v>0</v>
      </c>
      <c r="K12" s="95">
        <f>K13</f>
        <v>0</v>
      </c>
      <c r="L12" s="96"/>
    </row>
    <row r="13" spans="1:47" ht="12.75">
      <c r="A13" s="12"/>
      <c r="B13" s="20" t="s">
        <v>67</v>
      </c>
      <c r="C13" s="46" t="s">
        <v>231</v>
      </c>
      <c r="D13" s="47"/>
      <c r="E13" s="47"/>
      <c r="F13" s="12" t="s">
        <v>56</v>
      </c>
      <c r="G13" s="12" t="s">
        <v>56</v>
      </c>
      <c r="H13" s="97" t="s">
        <v>56</v>
      </c>
      <c r="I13" s="98">
        <f>SUM(I14:I30)</f>
        <v>0</v>
      </c>
      <c r="J13" s="98">
        <f>SUM(J14:J30)</f>
        <v>0</v>
      </c>
      <c r="K13" s="98">
        <f>SUM(K14:K30)</f>
        <v>0</v>
      </c>
      <c r="L13" s="93"/>
      <c r="AI13" s="93" t="s">
        <v>356</v>
      </c>
      <c r="AS13" s="98">
        <f>SUM(AJ14:AJ30)</f>
        <v>0</v>
      </c>
      <c r="AT13" s="98">
        <f>SUM(AK14:AK30)</f>
        <v>0</v>
      </c>
      <c r="AU13" s="98">
        <f>SUM(AL14:AL30)</f>
        <v>0</v>
      </c>
    </row>
    <row r="14" spans="1:62" ht="12.75">
      <c r="A14" s="13" t="s">
        <v>57</v>
      </c>
      <c r="B14" s="13" t="s">
        <v>163</v>
      </c>
      <c r="C14" s="48" t="s">
        <v>232</v>
      </c>
      <c r="D14" s="49"/>
      <c r="E14" s="49"/>
      <c r="F14" s="13" t="s">
        <v>323</v>
      </c>
      <c r="G14" s="23">
        <f>'Stavební rozpočet'!G14</f>
        <v>1231</v>
      </c>
      <c r="H14" s="99">
        <f>'Stavební rozpočet'!H14</f>
        <v>0</v>
      </c>
      <c r="I14" s="99">
        <f aca="true" t="shared" si="0" ref="I14:I30">G14*AO14</f>
        <v>0</v>
      </c>
      <c r="J14" s="99">
        <f aca="true" t="shared" si="1" ref="J14:J30">G14*AP14</f>
        <v>0</v>
      </c>
      <c r="K14" s="99">
        <f aca="true" t="shared" si="2" ref="K14:K30">G14*H14</f>
        <v>0</v>
      </c>
      <c r="L14" s="100" t="s">
        <v>344</v>
      </c>
      <c r="Z14" s="101">
        <f aca="true" t="shared" si="3" ref="Z14:Z30">IF(AQ14="5",BJ14,0)</f>
        <v>0</v>
      </c>
      <c r="AB14" s="101">
        <f aca="true" t="shared" si="4" ref="AB14:AB30">IF(AQ14="1",BH14,0)</f>
        <v>0</v>
      </c>
      <c r="AC14" s="101">
        <f aca="true" t="shared" si="5" ref="AC14:AC30">IF(AQ14="1",BI14,0)</f>
        <v>0</v>
      </c>
      <c r="AD14" s="101">
        <f aca="true" t="shared" si="6" ref="AD14:AD30">IF(AQ14="7",BH14,0)</f>
        <v>0</v>
      </c>
      <c r="AE14" s="101">
        <f aca="true" t="shared" si="7" ref="AE14:AE30">IF(AQ14="7",BI14,0)</f>
        <v>0</v>
      </c>
      <c r="AF14" s="101">
        <f aca="true" t="shared" si="8" ref="AF14:AF30">IF(AQ14="2",BH14,0)</f>
        <v>0</v>
      </c>
      <c r="AG14" s="101">
        <f aca="true" t="shared" si="9" ref="AG14:AG30">IF(AQ14="2",BI14,0)</f>
        <v>0</v>
      </c>
      <c r="AH14" s="101">
        <f aca="true" t="shared" si="10" ref="AH14:AH30">IF(AQ14="0",BJ14,0)</f>
        <v>0</v>
      </c>
      <c r="AI14" s="93" t="s">
        <v>356</v>
      </c>
      <c r="AJ14" s="99">
        <f aca="true" t="shared" si="11" ref="AJ14:AJ30">IF(AN14=0,K14,0)</f>
        <v>0</v>
      </c>
      <c r="AK14" s="99">
        <f aca="true" t="shared" si="12" ref="AK14:AK30">IF(AN14=15,K14,0)</f>
        <v>0</v>
      </c>
      <c r="AL14" s="99">
        <f aca="true" t="shared" si="13" ref="AL14:AL30">IF(AN14=21,K14,0)</f>
        <v>0</v>
      </c>
      <c r="AN14" s="101">
        <v>21</v>
      </c>
      <c r="AO14" s="101">
        <f aca="true" t="shared" si="14" ref="AO14:AO30">H14*0</f>
        <v>0</v>
      </c>
      <c r="AP14" s="101">
        <f aca="true" t="shared" si="15" ref="AP14:AP30">H14*(1-0)</f>
        <v>0</v>
      </c>
      <c r="AQ14" s="100" t="s">
        <v>57</v>
      </c>
      <c r="AV14" s="101">
        <f aca="true" t="shared" si="16" ref="AV14:AV30">AW14+AX14</f>
        <v>0</v>
      </c>
      <c r="AW14" s="101">
        <f aca="true" t="shared" si="17" ref="AW14:AW30">G14*AO14</f>
        <v>0</v>
      </c>
      <c r="AX14" s="101">
        <f aca="true" t="shared" si="18" ref="AX14:AX30">G14*AP14</f>
        <v>0</v>
      </c>
      <c r="AY14" s="102" t="s">
        <v>366</v>
      </c>
      <c r="AZ14" s="102" t="s">
        <v>372</v>
      </c>
      <c r="BA14" s="93" t="s">
        <v>389</v>
      </c>
      <c r="BC14" s="101">
        <f aca="true" t="shared" si="19" ref="BC14:BC30">AW14+AX14</f>
        <v>0</v>
      </c>
      <c r="BD14" s="101">
        <f aca="true" t="shared" si="20" ref="BD14:BD30">H14/(100-BE14)*100</f>
        <v>0</v>
      </c>
      <c r="BE14" s="101">
        <v>0</v>
      </c>
      <c r="BF14" s="101">
        <f>14</f>
        <v>14</v>
      </c>
      <c r="BH14" s="99">
        <f aca="true" t="shared" si="21" ref="BH14:BH30">G14*AO14</f>
        <v>0</v>
      </c>
      <c r="BI14" s="99">
        <f aca="true" t="shared" si="22" ref="BI14:BI30">G14*AP14</f>
        <v>0</v>
      </c>
      <c r="BJ14" s="99">
        <f aca="true" t="shared" si="23" ref="BJ14:BJ30">G14*H14</f>
        <v>0</v>
      </c>
    </row>
    <row r="15" spans="1:62" ht="12.75">
      <c r="A15" s="13" t="s">
        <v>58</v>
      </c>
      <c r="B15" s="13" t="s">
        <v>164</v>
      </c>
      <c r="C15" s="48" t="s">
        <v>233</v>
      </c>
      <c r="D15" s="49"/>
      <c r="E15" s="49"/>
      <c r="F15" s="13" t="s">
        <v>323</v>
      </c>
      <c r="G15" s="23">
        <f>'Stavební rozpočet'!G15</f>
        <v>530</v>
      </c>
      <c r="H15" s="99">
        <f>'Stavební rozpočet'!H15</f>
        <v>0</v>
      </c>
      <c r="I15" s="99">
        <f t="shared" si="0"/>
        <v>0</v>
      </c>
      <c r="J15" s="99">
        <f t="shared" si="1"/>
        <v>0</v>
      </c>
      <c r="K15" s="99">
        <f t="shared" si="2"/>
        <v>0</v>
      </c>
      <c r="L15" s="100" t="s">
        <v>344</v>
      </c>
      <c r="Z15" s="101">
        <f t="shared" si="3"/>
        <v>0</v>
      </c>
      <c r="AB15" s="101">
        <f t="shared" si="4"/>
        <v>0</v>
      </c>
      <c r="AC15" s="101">
        <f t="shared" si="5"/>
        <v>0</v>
      </c>
      <c r="AD15" s="101">
        <f t="shared" si="6"/>
        <v>0</v>
      </c>
      <c r="AE15" s="101">
        <f t="shared" si="7"/>
        <v>0</v>
      </c>
      <c r="AF15" s="101">
        <f t="shared" si="8"/>
        <v>0</v>
      </c>
      <c r="AG15" s="101">
        <f t="shared" si="9"/>
        <v>0</v>
      </c>
      <c r="AH15" s="101">
        <f t="shared" si="10"/>
        <v>0</v>
      </c>
      <c r="AI15" s="93" t="s">
        <v>356</v>
      </c>
      <c r="AJ15" s="99">
        <f t="shared" si="11"/>
        <v>0</v>
      </c>
      <c r="AK15" s="99">
        <f t="shared" si="12"/>
        <v>0</v>
      </c>
      <c r="AL15" s="99">
        <f t="shared" si="13"/>
        <v>0</v>
      </c>
      <c r="AN15" s="101">
        <v>21</v>
      </c>
      <c r="AO15" s="101">
        <f t="shared" si="14"/>
        <v>0</v>
      </c>
      <c r="AP15" s="101">
        <f t="shared" si="15"/>
        <v>0</v>
      </c>
      <c r="AQ15" s="100" t="s">
        <v>57</v>
      </c>
      <c r="AV15" s="101">
        <f t="shared" si="16"/>
        <v>0</v>
      </c>
      <c r="AW15" s="101">
        <f t="shared" si="17"/>
        <v>0</v>
      </c>
      <c r="AX15" s="101">
        <f t="shared" si="18"/>
        <v>0</v>
      </c>
      <c r="AY15" s="102" t="s">
        <v>366</v>
      </c>
      <c r="AZ15" s="102" t="s">
        <v>372</v>
      </c>
      <c r="BA15" s="93" t="s">
        <v>389</v>
      </c>
      <c r="BC15" s="101">
        <f t="shared" si="19"/>
        <v>0</v>
      </c>
      <c r="BD15" s="101">
        <f t="shared" si="20"/>
        <v>0</v>
      </c>
      <c r="BE15" s="101">
        <v>0</v>
      </c>
      <c r="BF15" s="101">
        <f>15</f>
        <v>15</v>
      </c>
      <c r="BH15" s="99">
        <f t="shared" si="21"/>
        <v>0</v>
      </c>
      <c r="BI15" s="99">
        <f t="shared" si="22"/>
        <v>0</v>
      </c>
      <c r="BJ15" s="99">
        <f t="shared" si="23"/>
        <v>0</v>
      </c>
    </row>
    <row r="16" spans="1:62" ht="12.75">
      <c r="A16" s="13" t="s">
        <v>59</v>
      </c>
      <c r="B16" s="13" t="s">
        <v>165</v>
      </c>
      <c r="C16" s="48" t="s">
        <v>234</v>
      </c>
      <c r="D16" s="49"/>
      <c r="E16" s="49"/>
      <c r="F16" s="13" t="s">
        <v>323</v>
      </c>
      <c r="G16" s="23">
        <f>'Stavební rozpočet'!G16</f>
        <v>382</v>
      </c>
      <c r="H16" s="99">
        <f>'Stavební rozpočet'!H16</f>
        <v>0</v>
      </c>
      <c r="I16" s="99">
        <f t="shared" si="0"/>
        <v>0</v>
      </c>
      <c r="J16" s="99">
        <f t="shared" si="1"/>
        <v>0</v>
      </c>
      <c r="K16" s="99">
        <f t="shared" si="2"/>
        <v>0</v>
      </c>
      <c r="L16" s="100" t="s">
        <v>344</v>
      </c>
      <c r="Z16" s="101">
        <f t="shared" si="3"/>
        <v>0</v>
      </c>
      <c r="AB16" s="101">
        <f t="shared" si="4"/>
        <v>0</v>
      </c>
      <c r="AC16" s="101">
        <f t="shared" si="5"/>
        <v>0</v>
      </c>
      <c r="AD16" s="101">
        <f t="shared" si="6"/>
        <v>0</v>
      </c>
      <c r="AE16" s="101">
        <f t="shared" si="7"/>
        <v>0</v>
      </c>
      <c r="AF16" s="101">
        <f t="shared" si="8"/>
        <v>0</v>
      </c>
      <c r="AG16" s="101">
        <f t="shared" si="9"/>
        <v>0</v>
      </c>
      <c r="AH16" s="101">
        <f t="shared" si="10"/>
        <v>0</v>
      </c>
      <c r="AI16" s="93" t="s">
        <v>356</v>
      </c>
      <c r="AJ16" s="99">
        <f t="shared" si="11"/>
        <v>0</v>
      </c>
      <c r="AK16" s="99">
        <f t="shared" si="12"/>
        <v>0</v>
      </c>
      <c r="AL16" s="99">
        <f t="shared" si="13"/>
        <v>0</v>
      </c>
      <c r="AN16" s="101">
        <v>21</v>
      </c>
      <c r="AO16" s="101">
        <f t="shared" si="14"/>
        <v>0</v>
      </c>
      <c r="AP16" s="101">
        <f t="shared" si="15"/>
        <v>0</v>
      </c>
      <c r="AQ16" s="100" t="s">
        <v>57</v>
      </c>
      <c r="AV16" s="101">
        <f t="shared" si="16"/>
        <v>0</v>
      </c>
      <c r="AW16" s="101">
        <f t="shared" si="17"/>
        <v>0</v>
      </c>
      <c r="AX16" s="101">
        <f t="shared" si="18"/>
        <v>0</v>
      </c>
      <c r="AY16" s="102" t="s">
        <v>366</v>
      </c>
      <c r="AZ16" s="102" t="s">
        <v>372</v>
      </c>
      <c r="BA16" s="93" t="s">
        <v>389</v>
      </c>
      <c r="BC16" s="101">
        <f t="shared" si="19"/>
        <v>0</v>
      </c>
      <c r="BD16" s="101">
        <f t="shared" si="20"/>
        <v>0</v>
      </c>
      <c r="BE16" s="101">
        <v>0</v>
      </c>
      <c r="BF16" s="101">
        <f>16</f>
        <v>16</v>
      </c>
      <c r="BH16" s="99">
        <f t="shared" si="21"/>
        <v>0</v>
      </c>
      <c r="BI16" s="99">
        <f t="shared" si="22"/>
        <v>0</v>
      </c>
      <c r="BJ16" s="99">
        <f t="shared" si="23"/>
        <v>0</v>
      </c>
    </row>
    <row r="17" spans="1:62" ht="12.75">
      <c r="A17" s="13" t="s">
        <v>60</v>
      </c>
      <c r="B17" s="13" t="s">
        <v>166</v>
      </c>
      <c r="C17" s="48" t="s">
        <v>235</v>
      </c>
      <c r="D17" s="49"/>
      <c r="E17" s="49"/>
      <c r="F17" s="13" t="s">
        <v>323</v>
      </c>
      <c r="G17" s="23">
        <f>'Stavební rozpočet'!G17</f>
        <v>169</v>
      </c>
      <c r="H17" s="99">
        <f>'Stavební rozpočet'!H17</f>
        <v>0</v>
      </c>
      <c r="I17" s="99">
        <f t="shared" si="0"/>
        <v>0</v>
      </c>
      <c r="J17" s="99">
        <f t="shared" si="1"/>
        <v>0</v>
      </c>
      <c r="K17" s="99">
        <f t="shared" si="2"/>
        <v>0</v>
      </c>
      <c r="L17" s="100" t="s">
        <v>344</v>
      </c>
      <c r="Z17" s="101">
        <f t="shared" si="3"/>
        <v>0</v>
      </c>
      <c r="AB17" s="101">
        <f t="shared" si="4"/>
        <v>0</v>
      </c>
      <c r="AC17" s="101">
        <f t="shared" si="5"/>
        <v>0</v>
      </c>
      <c r="AD17" s="101">
        <f t="shared" si="6"/>
        <v>0</v>
      </c>
      <c r="AE17" s="101">
        <f t="shared" si="7"/>
        <v>0</v>
      </c>
      <c r="AF17" s="101">
        <f t="shared" si="8"/>
        <v>0</v>
      </c>
      <c r="AG17" s="101">
        <f t="shared" si="9"/>
        <v>0</v>
      </c>
      <c r="AH17" s="101">
        <f t="shared" si="10"/>
        <v>0</v>
      </c>
      <c r="AI17" s="93" t="s">
        <v>356</v>
      </c>
      <c r="AJ17" s="99">
        <f t="shared" si="11"/>
        <v>0</v>
      </c>
      <c r="AK17" s="99">
        <f t="shared" si="12"/>
        <v>0</v>
      </c>
      <c r="AL17" s="99">
        <f t="shared" si="13"/>
        <v>0</v>
      </c>
      <c r="AN17" s="101">
        <v>21</v>
      </c>
      <c r="AO17" s="101">
        <f t="shared" si="14"/>
        <v>0</v>
      </c>
      <c r="AP17" s="101">
        <f t="shared" si="15"/>
        <v>0</v>
      </c>
      <c r="AQ17" s="100" t="s">
        <v>57</v>
      </c>
      <c r="AV17" s="101">
        <f t="shared" si="16"/>
        <v>0</v>
      </c>
      <c r="AW17" s="101">
        <f t="shared" si="17"/>
        <v>0</v>
      </c>
      <c r="AX17" s="101">
        <f t="shared" si="18"/>
        <v>0</v>
      </c>
      <c r="AY17" s="102" t="s">
        <v>366</v>
      </c>
      <c r="AZ17" s="102" t="s">
        <v>372</v>
      </c>
      <c r="BA17" s="93" t="s">
        <v>389</v>
      </c>
      <c r="BC17" s="101">
        <f t="shared" si="19"/>
        <v>0</v>
      </c>
      <c r="BD17" s="101">
        <f t="shared" si="20"/>
        <v>0</v>
      </c>
      <c r="BE17" s="101">
        <v>0</v>
      </c>
      <c r="BF17" s="101">
        <f>17</f>
        <v>17</v>
      </c>
      <c r="BH17" s="99">
        <f t="shared" si="21"/>
        <v>0</v>
      </c>
      <c r="BI17" s="99">
        <f t="shared" si="22"/>
        <v>0</v>
      </c>
      <c r="BJ17" s="99">
        <f t="shared" si="23"/>
        <v>0</v>
      </c>
    </row>
    <row r="18" spans="1:62" ht="12.75">
      <c r="A18" s="13" t="s">
        <v>61</v>
      </c>
      <c r="B18" s="13" t="s">
        <v>167</v>
      </c>
      <c r="C18" s="48" t="s">
        <v>236</v>
      </c>
      <c r="D18" s="49"/>
      <c r="E18" s="49"/>
      <c r="F18" s="13" t="s">
        <v>323</v>
      </c>
      <c r="G18" s="23">
        <f>'Stavební rozpočet'!G18</f>
        <v>84</v>
      </c>
      <c r="H18" s="99">
        <f>'Stavební rozpočet'!H18</f>
        <v>0</v>
      </c>
      <c r="I18" s="99">
        <f t="shared" si="0"/>
        <v>0</v>
      </c>
      <c r="J18" s="99">
        <f t="shared" si="1"/>
        <v>0</v>
      </c>
      <c r="K18" s="99">
        <f t="shared" si="2"/>
        <v>0</v>
      </c>
      <c r="L18" s="100" t="s">
        <v>344</v>
      </c>
      <c r="Z18" s="101">
        <f t="shared" si="3"/>
        <v>0</v>
      </c>
      <c r="AB18" s="101">
        <f t="shared" si="4"/>
        <v>0</v>
      </c>
      <c r="AC18" s="101">
        <f t="shared" si="5"/>
        <v>0</v>
      </c>
      <c r="AD18" s="101">
        <f t="shared" si="6"/>
        <v>0</v>
      </c>
      <c r="AE18" s="101">
        <f t="shared" si="7"/>
        <v>0</v>
      </c>
      <c r="AF18" s="101">
        <f t="shared" si="8"/>
        <v>0</v>
      </c>
      <c r="AG18" s="101">
        <f t="shared" si="9"/>
        <v>0</v>
      </c>
      <c r="AH18" s="101">
        <f t="shared" si="10"/>
        <v>0</v>
      </c>
      <c r="AI18" s="93" t="s">
        <v>356</v>
      </c>
      <c r="AJ18" s="99">
        <f t="shared" si="11"/>
        <v>0</v>
      </c>
      <c r="AK18" s="99">
        <f t="shared" si="12"/>
        <v>0</v>
      </c>
      <c r="AL18" s="99">
        <f t="shared" si="13"/>
        <v>0</v>
      </c>
      <c r="AN18" s="101">
        <v>21</v>
      </c>
      <c r="AO18" s="101">
        <f t="shared" si="14"/>
        <v>0</v>
      </c>
      <c r="AP18" s="101">
        <f t="shared" si="15"/>
        <v>0</v>
      </c>
      <c r="AQ18" s="100" t="s">
        <v>57</v>
      </c>
      <c r="AV18" s="101">
        <f t="shared" si="16"/>
        <v>0</v>
      </c>
      <c r="AW18" s="101">
        <f t="shared" si="17"/>
        <v>0</v>
      </c>
      <c r="AX18" s="101">
        <f t="shared" si="18"/>
        <v>0</v>
      </c>
      <c r="AY18" s="102" t="s">
        <v>366</v>
      </c>
      <c r="AZ18" s="102" t="s">
        <v>372</v>
      </c>
      <c r="BA18" s="93" t="s">
        <v>389</v>
      </c>
      <c r="BC18" s="101">
        <f t="shared" si="19"/>
        <v>0</v>
      </c>
      <c r="BD18" s="101">
        <f t="shared" si="20"/>
        <v>0</v>
      </c>
      <c r="BE18" s="101">
        <v>0</v>
      </c>
      <c r="BF18" s="101">
        <f>18</f>
        <v>18</v>
      </c>
      <c r="BH18" s="99">
        <f t="shared" si="21"/>
        <v>0</v>
      </c>
      <c r="BI18" s="99">
        <f t="shared" si="22"/>
        <v>0</v>
      </c>
      <c r="BJ18" s="99">
        <f t="shared" si="23"/>
        <v>0</v>
      </c>
    </row>
    <row r="19" spans="1:62" ht="12.75">
      <c r="A19" s="13" t="s">
        <v>62</v>
      </c>
      <c r="B19" s="13" t="s">
        <v>168</v>
      </c>
      <c r="C19" s="48" t="s">
        <v>237</v>
      </c>
      <c r="D19" s="49"/>
      <c r="E19" s="49"/>
      <c r="F19" s="13" t="s">
        <v>323</v>
      </c>
      <c r="G19" s="23">
        <f>'Stavební rozpočet'!G19</f>
        <v>38</v>
      </c>
      <c r="H19" s="99">
        <f>'Stavební rozpočet'!H19</f>
        <v>0</v>
      </c>
      <c r="I19" s="99">
        <f t="shared" si="0"/>
        <v>0</v>
      </c>
      <c r="J19" s="99">
        <f t="shared" si="1"/>
        <v>0</v>
      </c>
      <c r="K19" s="99">
        <f t="shared" si="2"/>
        <v>0</v>
      </c>
      <c r="L19" s="100" t="s">
        <v>344</v>
      </c>
      <c r="Z19" s="101">
        <f t="shared" si="3"/>
        <v>0</v>
      </c>
      <c r="AB19" s="101">
        <f t="shared" si="4"/>
        <v>0</v>
      </c>
      <c r="AC19" s="101">
        <f t="shared" si="5"/>
        <v>0</v>
      </c>
      <c r="AD19" s="101">
        <f t="shared" si="6"/>
        <v>0</v>
      </c>
      <c r="AE19" s="101">
        <f t="shared" si="7"/>
        <v>0</v>
      </c>
      <c r="AF19" s="101">
        <f t="shared" si="8"/>
        <v>0</v>
      </c>
      <c r="AG19" s="101">
        <f t="shared" si="9"/>
        <v>0</v>
      </c>
      <c r="AH19" s="101">
        <f t="shared" si="10"/>
        <v>0</v>
      </c>
      <c r="AI19" s="93" t="s">
        <v>356</v>
      </c>
      <c r="AJ19" s="99">
        <f t="shared" si="11"/>
        <v>0</v>
      </c>
      <c r="AK19" s="99">
        <f t="shared" si="12"/>
        <v>0</v>
      </c>
      <c r="AL19" s="99">
        <f t="shared" si="13"/>
        <v>0</v>
      </c>
      <c r="AN19" s="101">
        <v>21</v>
      </c>
      <c r="AO19" s="101">
        <f t="shared" si="14"/>
        <v>0</v>
      </c>
      <c r="AP19" s="101">
        <f t="shared" si="15"/>
        <v>0</v>
      </c>
      <c r="AQ19" s="100" t="s">
        <v>57</v>
      </c>
      <c r="AV19" s="101">
        <f t="shared" si="16"/>
        <v>0</v>
      </c>
      <c r="AW19" s="101">
        <f t="shared" si="17"/>
        <v>0</v>
      </c>
      <c r="AX19" s="101">
        <f t="shared" si="18"/>
        <v>0</v>
      </c>
      <c r="AY19" s="102" t="s">
        <v>366</v>
      </c>
      <c r="AZ19" s="102" t="s">
        <v>372</v>
      </c>
      <c r="BA19" s="93" t="s">
        <v>389</v>
      </c>
      <c r="BC19" s="101">
        <f t="shared" si="19"/>
        <v>0</v>
      </c>
      <c r="BD19" s="101">
        <f t="shared" si="20"/>
        <v>0</v>
      </c>
      <c r="BE19" s="101">
        <v>0</v>
      </c>
      <c r="BF19" s="101">
        <f>19</f>
        <v>19</v>
      </c>
      <c r="BH19" s="99">
        <f t="shared" si="21"/>
        <v>0</v>
      </c>
      <c r="BI19" s="99">
        <f t="shared" si="22"/>
        <v>0</v>
      </c>
      <c r="BJ19" s="99">
        <f t="shared" si="23"/>
        <v>0</v>
      </c>
    </row>
    <row r="20" spans="1:62" ht="12.75">
      <c r="A20" s="13" t="s">
        <v>63</v>
      </c>
      <c r="B20" s="13" t="s">
        <v>169</v>
      </c>
      <c r="C20" s="48" t="s">
        <v>238</v>
      </c>
      <c r="D20" s="49"/>
      <c r="E20" s="49"/>
      <c r="F20" s="13" t="s">
        <v>323</v>
      </c>
      <c r="G20" s="23">
        <f>'Stavební rozpočet'!G20</f>
        <v>24</v>
      </c>
      <c r="H20" s="99">
        <f>'Stavební rozpočet'!H20</f>
        <v>0</v>
      </c>
      <c r="I20" s="99">
        <f t="shared" si="0"/>
        <v>0</v>
      </c>
      <c r="J20" s="99">
        <f t="shared" si="1"/>
        <v>0</v>
      </c>
      <c r="K20" s="99">
        <f t="shared" si="2"/>
        <v>0</v>
      </c>
      <c r="L20" s="100" t="s">
        <v>344</v>
      </c>
      <c r="Z20" s="101">
        <f t="shared" si="3"/>
        <v>0</v>
      </c>
      <c r="AB20" s="101">
        <f t="shared" si="4"/>
        <v>0</v>
      </c>
      <c r="AC20" s="101">
        <f t="shared" si="5"/>
        <v>0</v>
      </c>
      <c r="AD20" s="101">
        <f t="shared" si="6"/>
        <v>0</v>
      </c>
      <c r="AE20" s="101">
        <f t="shared" si="7"/>
        <v>0</v>
      </c>
      <c r="AF20" s="101">
        <f t="shared" si="8"/>
        <v>0</v>
      </c>
      <c r="AG20" s="101">
        <f t="shared" si="9"/>
        <v>0</v>
      </c>
      <c r="AH20" s="101">
        <f t="shared" si="10"/>
        <v>0</v>
      </c>
      <c r="AI20" s="93" t="s">
        <v>356</v>
      </c>
      <c r="AJ20" s="99">
        <f t="shared" si="11"/>
        <v>0</v>
      </c>
      <c r="AK20" s="99">
        <f t="shared" si="12"/>
        <v>0</v>
      </c>
      <c r="AL20" s="99">
        <f t="shared" si="13"/>
        <v>0</v>
      </c>
      <c r="AN20" s="101">
        <v>21</v>
      </c>
      <c r="AO20" s="101">
        <f t="shared" si="14"/>
        <v>0</v>
      </c>
      <c r="AP20" s="101">
        <f t="shared" si="15"/>
        <v>0</v>
      </c>
      <c r="AQ20" s="100" t="s">
        <v>57</v>
      </c>
      <c r="AV20" s="101">
        <f t="shared" si="16"/>
        <v>0</v>
      </c>
      <c r="AW20" s="101">
        <f t="shared" si="17"/>
        <v>0</v>
      </c>
      <c r="AX20" s="101">
        <f t="shared" si="18"/>
        <v>0</v>
      </c>
      <c r="AY20" s="102" t="s">
        <v>366</v>
      </c>
      <c r="AZ20" s="102" t="s">
        <v>372</v>
      </c>
      <c r="BA20" s="93" t="s">
        <v>389</v>
      </c>
      <c r="BC20" s="101">
        <f t="shared" si="19"/>
        <v>0</v>
      </c>
      <c r="BD20" s="101">
        <f t="shared" si="20"/>
        <v>0</v>
      </c>
      <c r="BE20" s="101">
        <v>0</v>
      </c>
      <c r="BF20" s="101">
        <f>20</f>
        <v>20</v>
      </c>
      <c r="BH20" s="99">
        <f t="shared" si="21"/>
        <v>0</v>
      </c>
      <c r="BI20" s="99">
        <f t="shared" si="22"/>
        <v>0</v>
      </c>
      <c r="BJ20" s="99">
        <f t="shared" si="23"/>
        <v>0</v>
      </c>
    </row>
    <row r="21" spans="1:62" ht="12.75">
      <c r="A21" s="13" t="s">
        <v>64</v>
      </c>
      <c r="B21" s="13" t="s">
        <v>170</v>
      </c>
      <c r="C21" s="48" t="s">
        <v>239</v>
      </c>
      <c r="D21" s="49"/>
      <c r="E21" s="49"/>
      <c r="F21" s="13" t="s">
        <v>323</v>
      </c>
      <c r="G21" s="23">
        <f>'Stavební rozpočet'!G21</f>
        <v>3</v>
      </c>
      <c r="H21" s="99">
        <f>'Stavební rozpočet'!H21</f>
        <v>0</v>
      </c>
      <c r="I21" s="99">
        <f t="shared" si="0"/>
        <v>0</v>
      </c>
      <c r="J21" s="99">
        <f t="shared" si="1"/>
        <v>0</v>
      </c>
      <c r="K21" s="99">
        <f t="shared" si="2"/>
        <v>0</v>
      </c>
      <c r="L21" s="100" t="s">
        <v>344</v>
      </c>
      <c r="Z21" s="101">
        <f t="shared" si="3"/>
        <v>0</v>
      </c>
      <c r="AB21" s="101">
        <f t="shared" si="4"/>
        <v>0</v>
      </c>
      <c r="AC21" s="101">
        <f t="shared" si="5"/>
        <v>0</v>
      </c>
      <c r="AD21" s="101">
        <f t="shared" si="6"/>
        <v>0</v>
      </c>
      <c r="AE21" s="101">
        <f t="shared" si="7"/>
        <v>0</v>
      </c>
      <c r="AF21" s="101">
        <f t="shared" si="8"/>
        <v>0</v>
      </c>
      <c r="AG21" s="101">
        <f t="shared" si="9"/>
        <v>0</v>
      </c>
      <c r="AH21" s="101">
        <f t="shared" si="10"/>
        <v>0</v>
      </c>
      <c r="AI21" s="93" t="s">
        <v>356</v>
      </c>
      <c r="AJ21" s="99">
        <f t="shared" si="11"/>
        <v>0</v>
      </c>
      <c r="AK21" s="99">
        <f t="shared" si="12"/>
        <v>0</v>
      </c>
      <c r="AL21" s="99">
        <f t="shared" si="13"/>
        <v>0</v>
      </c>
      <c r="AN21" s="101">
        <v>21</v>
      </c>
      <c r="AO21" s="101">
        <f t="shared" si="14"/>
        <v>0</v>
      </c>
      <c r="AP21" s="101">
        <f t="shared" si="15"/>
        <v>0</v>
      </c>
      <c r="AQ21" s="100" t="s">
        <v>57</v>
      </c>
      <c r="AV21" s="101">
        <f t="shared" si="16"/>
        <v>0</v>
      </c>
      <c r="AW21" s="101">
        <f t="shared" si="17"/>
        <v>0</v>
      </c>
      <c r="AX21" s="101">
        <f t="shared" si="18"/>
        <v>0</v>
      </c>
      <c r="AY21" s="102" t="s">
        <v>366</v>
      </c>
      <c r="AZ21" s="102" t="s">
        <v>372</v>
      </c>
      <c r="BA21" s="93" t="s">
        <v>389</v>
      </c>
      <c r="BC21" s="101">
        <f t="shared" si="19"/>
        <v>0</v>
      </c>
      <c r="BD21" s="101">
        <f t="shared" si="20"/>
        <v>0</v>
      </c>
      <c r="BE21" s="101">
        <v>0</v>
      </c>
      <c r="BF21" s="101">
        <f>21</f>
        <v>21</v>
      </c>
      <c r="BH21" s="99">
        <f t="shared" si="21"/>
        <v>0</v>
      </c>
      <c r="BI21" s="99">
        <f t="shared" si="22"/>
        <v>0</v>
      </c>
      <c r="BJ21" s="99">
        <f t="shared" si="23"/>
        <v>0</v>
      </c>
    </row>
    <row r="22" spans="1:62" ht="12.75">
      <c r="A22" s="13" t="s">
        <v>65</v>
      </c>
      <c r="B22" s="13" t="s">
        <v>171</v>
      </c>
      <c r="C22" s="48" t="s">
        <v>240</v>
      </c>
      <c r="D22" s="49"/>
      <c r="E22" s="49"/>
      <c r="F22" s="13" t="s">
        <v>323</v>
      </c>
      <c r="G22" s="23">
        <f>'Stavební rozpočet'!G22</f>
        <v>371</v>
      </c>
      <c r="H22" s="99">
        <f>'Stavební rozpočet'!H22</f>
        <v>0</v>
      </c>
      <c r="I22" s="99">
        <f t="shared" si="0"/>
        <v>0</v>
      </c>
      <c r="J22" s="99">
        <f t="shared" si="1"/>
        <v>0</v>
      </c>
      <c r="K22" s="99">
        <f t="shared" si="2"/>
        <v>0</v>
      </c>
      <c r="L22" s="100" t="s">
        <v>344</v>
      </c>
      <c r="Z22" s="101">
        <f t="shared" si="3"/>
        <v>0</v>
      </c>
      <c r="AB22" s="101">
        <f t="shared" si="4"/>
        <v>0</v>
      </c>
      <c r="AC22" s="101">
        <f t="shared" si="5"/>
        <v>0</v>
      </c>
      <c r="AD22" s="101">
        <f t="shared" si="6"/>
        <v>0</v>
      </c>
      <c r="AE22" s="101">
        <f t="shared" si="7"/>
        <v>0</v>
      </c>
      <c r="AF22" s="101">
        <f t="shared" si="8"/>
        <v>0</v>
      </c>
      <c r="AG22" s="101">
        <f t="shared" si="9"/>
        <v>0</v>
      </c>
      <c r="AH22" s="101">
        <f t="shared" si="10"/>
        <v>0</v>
      </c>
      <c r="AI22" s="93" t="s">
        <v>356</v>
      </c>
      <c r="AJ22" s="99">
        <f t="shared" si="11"/>
        <v>0</v>
      </c>
      <c r="AK22" s="99">
        <f t="shared" si="12"/>
        <v>0</v>
      </c>
      <c r="AL22" s="99">
        <f t="shared" si="13"/>
        <v>0</v>
      </c>
      <c r="AN22" s="101">
        <v>21</v>
      </c>
      <c r="AO22" s="101">
        <f t="shared" si="14"/>
        <v>0</v>
      </c>
      <c r="AP22" s="101">
        <f t="shared" si="15"/>
        <v>0</v>
      </c>
      <c r="AQ22" s="100" t="s">
        <v>57</v>
      </c>
      <c r="AV22" s="101">
        <f t="shared" si="16"/>
        <v>0</v>
      </c>
      <c r="AW22" s="101">
        <f t="shared" si="17"/>
        <v>0</v>
      </c>
      <c r="AX22" s="101">
        <f t="shared" si="18"/>
        <v>0</v>
      </c>
      <c r="AY22" s="102" t="s">
        <v>366</v>
      </c>
      <c r="AZ22" s="102" t="s">
        <v>372</v>
      </c>
      <c r="BA22" s="93" t="s">
        <v>389</v>
      </c>
      <c r="BC22" s="101">
        <f t="shared" si="19"/>
        <v>0</v>
      </c>
      <c r="BD22" s="101">
        <f t="shared" si="20"/>
        <v>0</v>
      </c>
      <c r="BE22" s="101">
        <v>0</v>
      </c>
      <c r="BF22" s="101">
        <f>22</f>
        <v>22</v>
      </c>
      <c r="BH22" s="99">
        <f t="shared" si="21"/>
        <v>0</v>
      </c>
      <c r="BI22" s="99">
        <f t="shared" si="22"/>
        <v>0</v>
      </c>
      <c r="BJ22" s="99">
        <f t="shared" si="23"/>
        <v>0</v>
      </c>
    </row>
    <row r="23" spans="1:62" ht="12.75">
      <c r="A23" s="13" t="s">
        <v>66</v>
      </c>
      <c r="B23" s="13" t="s">
        <v>172</v>
      </c>
      <c r="C23" s="48" t="s">
        <v>241</v>
      </c>
      <c r="D23" s="49"/>
      <c r="E23" s="49"/>
      <c r="F23" s="13" t="s">
        <v>323</v>
      </c>
      <c r="G23" s="23">
        <f>'Stavební rozpočet'!G23</f>
        <v>171</v>
      </c>
      <c r="H23" s="99">
        <f>'Stavební rozpočet'!H23</f>
        <v>0</v>
      </c>
      <c r="I23" s="99">
        <f t="shared" si="0"/>
        <v>0</v>
      </c>
      <c r="J23" s="99">
        <f t="shared" si="1"/>
        <v>0</v>
      </c>
      <c r="K23" s="99">
        <f t="shared" si="2"/>
        <v>0</v>
      </c>
      <c r="L23" s="100" t="s">
        <v>344</v>
      </c>
      <c r="Z23" s="101">
        <f t="shared" si="3"/>
        <v>0</v>
      </c>
      <c r="AB23" s="101">
        <f t="shared" si="4"/>
        <v>0</v>
      </c>
      <c r="AC23" s="101">
        <f t="shared" si="5"/>
        <v>0</v>
      </c>
      <c r="AD23" s="101">
        <f t="shared" si="6"/>
        <v>0</v>
      </c>
      <c r="AE23" s="101">
        <f t="shared" si="7"/>
        <v>0</v>
      </c>
      <c r="AF23" s="101">
        <f t="shared" si="8"/>
        <v>0</v>
      </c>
      <c r="AG23" s="101">
        <f t="shared" si="9"/>
        <v>0</v>
      </c>
      <c r="AH23" s="101">
        <f t="shared" si="10"/>
        <v>0</v>
      </c>
      <c r="AI23" s="93" t="s">
        <v>356</v>
      </c>
      <c r="AJ23" s="99">
        <f t="shared" si="11"/>
        <v>0</v>
      </c>
      <c r="AK23" s="99">
        <f t="shared" si="12"/>
        <v>0</v>
      </c>
      <c r="AL23" s="99">
        <f t="shared" si="13"/>
        <v>0</v>
      </c>
      <c r="AN23" s="101">
        <v>21</v>
      </c>
      <c r="AO23" s="101">
        <f t="shared" si="14"/>
        <v>0</v>
      </c>
      <c r="AP23" s="101">
        <f t="shared" si="15"/>
        <v>0</v>
      </c>
      <c r="AQ23" s="100" t="s">
        <v>57</v>
      </c>
      <c r="AV23" s="101">
        <f t="shared" si="16"/>
        <v>0</v>
      </c>
      <c r="AW23" s="101">
        <f t="shared" si="17"/>
        <v>0</v>
      </c>
      <c r="AX23" s="101">
        <f t="shared" si="18"/>
        <v>0</v>
      </c>
      <c r="AY23" s="102" t="s">
        <v>366</v>
      </c>
      <c r="AZ23" s="102" t="s">
        <v>372</v>
      </c>
      <c r="BA23" s="93" t="s">
        <v>389</v>
      </c>
      <c r="BC23" s="101">
        <f t="shared" si="19"/>
        <v>0</v>
      </c>
      <c r="BD23" s="101">
        <f t="shared" si="20"/>
        <v>0</v>
      </c>
      <c r="BE23" s="101">
        <v>0</v>
      </c>
      <c r="BF23" s="101">
        <f>23</f>
        <v>23</v>
      </c>
      <c r="BH23" s="99">
        <f t="shared" si="21"/>
        <v>0</v>
      </c>
      <c r="BI23" s="99">
        <f t="shared" si="22"/>
        <v>0</v>
      </c>
      <c r="BJ23" s="99">
        <f t="shared" si="23"/>
        <v>0</v>
      </c>
    </row>
    <row r="24" spans="1:62" ht="12.75">
      <c r="A24" s="13" t="s">
        <v>67</v>
      </c>
      <c r="B24" s="13" t="s">
        <v>173</v>
      </c>
      <c r="C24" s="48" t="s">
        <v>242</v>
      </c>
      <c r="D24" s="49"/>
      <c r="E24" s="49"/>
      <c r="F24" s="13" t="s">
        <v>323</v>
      </c>
      <c r="G24" s="23">
        <f>'Stavební rozpočet'!G24</f>
        <v>169</v>
      </c>
      <c r="H24" s="99">
        <f>'Stavební rozpočet'!H24</f>
        <v>0</v>
      </c>
      <c r="I24" s="99">
        <f t="shared" si="0"/>
        <v>0</v>
      </c>
      <c r="J24" s="99">
        <f t="shared" si="1"/>
        <v>0</v>
      </c>
      <c r="K24" s="99">
        <f t="shared" si="2"/>
        <v>0</v>
      </c>
      <c r="L24" s="100" t="s">
        <v>344</v>
      </c>
      <c r="Z24" s="101">
        <f t="shared" si="3"/>
        <v>0</v>
      </c>
      <c r="AB24" s="101">
        <f t="shared" si="4"/>
        <v>0</v>
      </c>
      <c r="AC24" s="101">
        <f t="shared" si="5"/>
        <v>0</v>
      </c>
      <c r="AD24" s="101">
        <f t="shared" si="6"/>
        <v>0</v>
      </c>
      <c r="AE24" s="101">
        <f t="shared" si="7"/>
        <v>0</v>
      </c>
      <c r="AF24" s="101">
        <f t="shared" si="8"/>
        <v>0</v>
      </c>
      <c r="AG24" s="101">
        <f t="shared" si="9"/>
        <v>0</v>
      </c>
      <c r="AH24" s="101">
        <f t="shared" si="10"/>
        <v>0</v>
      </c>
      <c r="AI24" s="93" t="s">
        <v>356</v>
      </c>
      <c r="AJ24" s="99">
        <f t="shared" si="11"/>
        <v>0</v>
      </c>
      <c r="AK24" s="99">
        <f t="shared" si="12"/>
        <v>0</v>
      </c>
      <c r="AL24" s="99">
        <f t="shared" si="13"/>
        <v>0</v>
      </c>
      <c r="AN24" s="101">
        <v>21</v>
      </c>
      <c r="AO24" s="101">
        <f t="shared" si="14"/>
        <v>0</v>
      </c>
      <c r="AP24" s="101">
        <f t="shared" si="15"/>
        <v>0</v>
      </c>
      <c r="AQ24" s="100" t="s">
        <v>57</v>
      </c>
      <c r="AV24" s="101">
        <f t="shared" si="16"/>
        <v>0</v>
      </c>
      <c r="AW24" s="101">
        <f t="shared" si="17"/>
        <v>0</v>
      </c>
      <c r="AX24" s="101">
        <f t="shared" si="18"/>
        <v>0</v>
      </c>
      <c r="AY24" s="102" t="s">
        <v>366</v>
      </c>
      <c r="AZ24" s="102" t="s">
        <v>372</v>
      </c>
      <c r="BA24" s="93" t="s">
        <v>389</v>
      </c>
      <c r="BC24" s="101">
        <f t="shared" si="19"/>
        <v>0</v>
      </c>
      <c r="BD24" s="101">
        <f t="shared" si="20"/>
        <v>0</v>
      </c>
      <c r="BE24" s="101">
        <v>0</v>
      </c>
      <c r="BF24" s="101">
        <f>24</f>
        <v>24</v>
      </c>
      <c r="BH24" s="99">
        <f t="shared" si="21"/>
        <v>0</v>
      </c>
      <c r="BI24" s="99">
        <f t="shared" si="22"/>
        <v>0</v>
      </c>
      <c r="BJ24" s="99">
        <f t="shared" si="23"/>
        <v>0</v>
      </c>
    </row>
    <row r="25" spans="1:62" ht="12.75">
      <c r="A25" s="13" t="s">
        <v>68</v>
      </c>
      <c r="B25" s="13" t="s">
        <v>174</v>
      </c>
      <c r="C25" s="48" t="s">
        <v>243</v>
      </c>
      <c r="D25" s="49"/>
      <c r="E25" s="49"/>
      <c r="F25" s="13" t="s">
        <v>323</v>
      </c>
      <c r="G25" s="23">
        <f>'Stavební rozpočet'!G25</f>
        <v>126</v>
      </c>
      <c r="H25" s="99">
        <f>'Stavební rozpočet'!H25</f>
        <v>0</v>
      </c>
      <c r="I25" s="99">
        <f t="shared" si="0"/>
        <v>0</v>
      </c>
      <c r="J25" s="99">
        <f t="shared" si="1"/>
        <v>0</v>
      </c>
      <c r="K25" s="99">
        <f t="shared" si="2"/>
        <v>0</v>
      </c>
      <c r="L25" s="100" t="s">
        <v>344</v>
      </c>
      <c r="Z25" s="101">
        <f t="shared" si="3"/>
        <v>0</v>
      </c>
      <c r="AB25" s="101">
        <f t="shared" si="4"/>
        <v>0</v>
      </c>
      <c r="AC25" s="101">
        <f t="shared" si="5"/>
        <v>0</v>
      </c>
      <c r="AD25" s="101">
        <f t="shared" si="6"/>
        <v>0</v>
      </c>
      <c r="AE25" s="101">
        <f t="shared" si="7"/>
        <v>0</v>
      </c>
      <c r="AF25" s="101">
        <f t="shared" si="8"/>
        <v>0</v>
      </c>
      <c r="AG25" s="101">
        <f t="shared" si="9"/>
        <v>0</v>
      </c>
      <c r="AH25" s="101">
        <f t="shared" si="10"/>
        <v>0</v>
      </c>
      <c r="AI25" s="93" t="s">
        <v>356</v>
      </c>
      <c r="AJ25" s="99">
        <f t="shared" si="11"/>
        <v>0</v>
      </c>
      <c r="AK25" s="99">
        <f t="shared" si="12"/>
        <v>0</v>
      </c>
      <c r="AL25" s="99">
        <f t="shared" si="13"/>
        <v>0</v>
      </c>
      <c r="AN25" s="101">
        <v>21</v>
      </c>
      <c r="AO25" s="101">
        <f t="shared" si="14"/>
        <v>0</v>
      </c>
      <c r="AP25" s="101">
        <f t="shared" si="15"/>
        <v>0</v>
      </c>
      <c r="AQ25" s="100" t="s">
        <v>57</v>
      </c>
      <c r="AV25" s="101">
        <f t="shared" si="16"/>
        <v>0</v>
      </c>
      <c r="AW25" s="101">
        <f t="shared" si="17"/>
        <v>0</v>
      </c>
      <c r="AX25" s="101">
        <f t="shared" si="18"/>
        <v>0</v>
      </c>
      <c r="AY25" s="102" t="s">
        <v>366</v>
      </c>
      <c r="AZ25" s="102" t="s">
        <v>372</v>
      </c>
      <c r="BA25" s="93" t="s">
        <v>389</v>
      </c>
      <c r="BC25" s="101">
        <f t="shared" si="19"/>
        <v>0</v>
      </c>
      <c r="BD25" s="101">
        <f t="shared" si="20"/>
        <v>0</v>
      </c>
      <c r="BE25" s="101">
        <v>0</v>
      </c>
      <c r="BF25" s="101">
        <f>25</f>
        <v>25</v>
      </c>
      <c r="BH25" s="99">
        <f t="shared" si="21"/>
        <v>0</v>
      </c>
      <c r="BI25" s="99">
        <f t="shared" si="22"/>
        <v>0</v>
      </c>
      <c r="BJ25" s="99">
        <f t="shared" si="23"/>
        <v>0</v>
      </c>
    </row>
    <row r="26" spans="1:62" ht="12.75">
      <c r="A26" s="13" t="s">
        <v>69</v>
      </c>
      <c r="B26" s="13" t="s">
        <v>175</v>
      </c>
      <c r="C26" s="48" t="s">
        <v>244</v>
      </c>
      <c r="D26" s="49"/>
      <c r="E26" s="49"/>
      <c r="F26" s="13" t="s">
        <v>323</v>
      </c>
      <c r="G26" s="23">
        <f>'Stavební rozpočet'!G26</f>
        <v>41</v>
      </c>
      <c r="H26" s="99">
        <f>'Stavební rozpočet'!H26</f>
        <v>0</v>
      </c>
      <c r="I26" s="99">
        <f t="shared" si="0"/>
        <v>0</v>
      </c>
      <c r="J26" s="99">
        <f t="shared" si="1"/>
        <v>0</v>
      </c>
      <c r="K26" s="99">
        <f t="shared" si="2"/>
        <v>0</v>
      </c>
      <c r="L26" s="100" t="s">
        <v>344</v>
      </c>
      <c r="Z26" s="101">
        <f t="shared" si="3"/>
        <v>0</v>
      </c>
      <c r="AB26" s="101">
        <f t="shared" si="4"/>
        <v>0</v>
      </c>
      <c r="AC26" s="101">
        <f t="shared" si="5"/>
        <v>0</v>
      </c>
      <c r="AD26" s="101">
        <f t="shared" si="6"/>
        <v>0</v>
      </c>
      <c r="AE26" s="101">
        <f t="shared" si="7"/>
        <v>0</v>
      </c>
      <c r="AF26" s="101">
        <f t="shared" si="8"/>
        <v>0</v>
      </c>
      <c r="AG26" s="101">
        <f t="shared" si="9"/>
        <v>0</v>
      </c>
      <c r="AH26" s="101">
        <f t="shared" si="10"/>
        <v>0</v>
      </c>
      <c r="AI26" s="93" t="s">
        <v>356</v>
      </c>
      <c r="AJ26" s="99">
        <f t="shared" si="11"/>
        <v>0</v>
      </c>
      <c r="AK26" s="99">
        <f t="shared" si="12"/>
        <v>0</v>
      </c>
      <c r="AL26" s="99">
        <f t="shared" si="13"/>
        <v>0</v>
      </c>
      <c r="AN26" s="101">
        <v>21</v>
      </c>
      <c r="AO26" s="101">
        <f t="shared" si="14"/>
        <v>0</v>
      </c>
      <c r="AP26" s="101">
        <f t="shared" si="15"/>
        <v>0</v>
      </c>
      <c r="AQ26" s="100" t="s">
        <v>57</v>
      </c>
      <c r="AV26" s="101">
        <f t="shared" si="16"/>
        <v>0</v>
      </c>
      <c r="AW26" s="101">
        <f t="shared" si="17"/>
        <v>0</v>
      </c>
      <c r="AX26" s="101">
        <f t="shared" si="18"/>
        <v>0</v>
      </c>
      <c r="AY26" s="102" t="s">
        <v>366</v>
      </c>
      <c r="AZ26" s="102" t="s">
        <v>372</v>
      </c>
      <c r="BA26" s="93" t="s">
        <v>389</v>
      </c>
      <c r="BC26" s="101">
        <f t="shared" si="19"/>
        <v>0</v>
      </c>
      <c r="BD26" s="101">
        <f t="shared" si="20"/>
        <v>0</v>
      </c>
      <c r="BE26" s="101">
        <v>0</v>
      </c>
      <c r="BF26" s="101">
        <f>26</f>
        <v>26</v>
      </c>
      <c r="BH26" s="99">
        <f t="shared" si="21"/>
        <v>0</v>
      </c>
      <c r="BI26" s="99">
        <f t="shared" si="22"/>
        <v>0</v>
      </c>
      <c r="BJ26" s="99">
        <f t="shared" si="23"/>
        <v>0</v>
      </c>
    </row>
    <row r="27" spans="1:62" ht="12.75">
      <c r="A27" s="13" t="s">
        <v>70</v>
      </c>
      <c r="B27" s="13" t="s">
        <v>176</v>
      </c>
      <c r="C27" s="48" t="s">
        <v>245</v>
      </c>
      <c r="D27" s="49"/>
      <c r="E27" s="49"/>
      <c r="F27" s="13" t="s">
        <v>323</v>
      </c>
      <c r="G27" s="23">
        <f>'Stavební rozpočet'!G27</f>
        <v>20</v>
      </c>
      <c r="H27" s="99">
        <f>'Stavební rozpočet'!H27</f>
        <v>0</v>
      </c>
      <c r="I27" s="99">
        <f t="shared" si="0"/>
        <v>0</v>
      </c>
      <c r="J27" s="99">
        <f t="shared" si="1"/>
        <v>0</v>
      </c>
      <c r="K27" s="99">
        <f t="shared" si="2"/>
        <v>0</v>
      </c>
      <c r="L27" s="100" t="s">
        <v>344</v>
      </c>
      <c r="Z27" s="101">
        <f t="shared" si="3"/>
        <v>0</v>
      </c>
      <c r="AB27" s="101">
        <f t="shared" si="4"/>
        <v>0</v>
      </c>
      <c r="AC27" s="101">
        <f t="shared" si="5"/>
        <v>0</v>
      </c>
      <c r="AD27" s="101">
        <f t="shared" si="6"/>
        <v>0</v>
      </c>
      <c r="AE27" s="101">
        <f t="shared" si="7"/>
        <v>0</v>
      </c>
      <c r="AF27" s="101">
        <f t="shared" si="8"/>
        <v>0</v>
      </c>
      <c r="AG27" s="101">
        <f t="shared" si="9"/>
        <v>0</v>
      </c>
      <c r="AH27" s="101">
        <f t="shared" si="10"/>
        <v>0</v>
      </c>
      <c r="AI27" s="93" t="s">
        <v>356</v>
      </c>
      <c r="AJ27" s="99">
        <f t="shared" si="11"/>
        <v>0</v>
      </c>
      <c r="AK27" s="99">
        <f t="shared" si="12"/>
        <v>0</v>
      </c>
      <c r="AL27" s="99">
        <f t="shared" si="13"/>
        <v>0</v>
      </c>
      <c r="AN27" s="101">
        <v>21</v>
      </c>
      <c r="AO27" s="101">
        <f t="shared" si="14"/>
        <v>0</v>
      </c>
      <c r="AP27" s="101">
        <f t="shared" si="15"/>
        <v>0</v>
      </c>
      <c r="AQ27" s="100" t="s">
        <v>57</v>
      </c>
      <c r="AV27" s="101">
        <f t="shared" si="16"/>
        <v>0</v>
      </c>
      <c r="AW27" s="101">
        <f t="shared" si="17"/>
        <v>0</v>
      </c>
      <c r="AX27" s="101">
        <f t="shared" si="18"/>
        <v>0</v>
      </c>
      <c r="AY27" s="102" t="s">
        <v>366</v>
      </c>
      <c r="AZ27" s="102" t="s">
        <v>372</v>
      </c>
      <c r="BA27" s="93" t="s">
        <v>389</v>
      </c>
      <c r="BC27" s="101">
        <f t="shared" si="19"/>
        <v>0</v>
      </c>
      <c r="BD27" s="101">
        <f t="shared" si="20"/>
        <v>0</v>
      </c>
      <c r="BE27" s="101">
        <v>0</v>
      </c>
      <c r="BF27" s="101">
        <f>27</f>
        <v>27</v>
      </c>
      <c r="BH27" s="99">
        <f t="shared" si="21"/>
        <v>0</v>
      </c>
      <c r="BI27" s="99">
        <f t="shared" si="22"/>
        <v>0</v>
      </c>
      <c r="BJ27" s="99">
        <f t="shared" si="23"/>
        <v>0</v>
      </c>
    </row>
    <row r="28" spans="1:62" ht="12.75">
      <c r="A28" s="13" t="s">
        <v>71</v>
      </c>
      <c r="B28" s="13" t="s">
        <v>177</v>
      </c>
      <c r="C28" s="48" t="s">
        <v>246</v>
      </c>
      <c r="D28" s="49"/>
      <c r="E28" s="49"/>
      <c r="F28" s="13" t="s">
        <v>323</v>
      </c>
      <c r="G28" s="23">
        <f>'Stavební rozpočet'!G28</f>
        <v>4</v>
      </c>
      <c r="H28" s="99">
        <f>'Stavební rozpočet'!H28</f>
        <v>0</v>
      </c>
      <c r="I28" s="99">
        <f t="shared" si="0"/>
        <v>0</v>
      </c>
      <c r="J28" s="99">
        <f t="shared" si="1"/>
        <v>0</v>
      </c>
      <c r="K28" s="99">
        <f t="shared" si="2"/>
        <v>0</v>
      </c>
      <c r="L28" s="100" t="s">
        <v>344</v>
      </c>
      <c r="Z28" s="101">
        <f t="shared" si="3"/>
        <v>0</v>
      </c>
      <c r="AB28" s="101">
        <f t="shared" si="4"/>
        <v>0</v>
      </c>
      <c r="AC28" s="101">
        <f t="shared" si="5"/>
        <v>0</v>
      </c>
      <c r="AD28" s="101">
        <f t="shared" si="6"/>
        <v>0</v>
      </c>
      <c r="AE28" s="101">
        <f t="shared" si="7"/>
        <v>0</v>
      </c>
      <c r="AF28" s="101">
        <f t="shared" si="8"/>
        <v>0</v>
      </c>
      <c r="AG28" s="101">
        <f t="shared" si="9"/>
        <v>0</v>
      </c>
      <c r="AH28" s="101">
        <f t="shared" si="10"/>
        <v>0</v>
      </c>
      <c r="AI28" s="93" t="s">
        <v>356</v>
      </c>
      <c r="AJ28" s="99">
        <f t="shared" si="11"/>
        <v>0</v>
      </c>
      <c r="AK28" s="99">
        <f t="shared" si="12"/>
        <v>0</v>
      </c>
      <c r="AL28" s="99">
        <f t="shared" si="13"/>
        <v>0</v>
      </c>
      <c r="AN28" s="101">
        <v>21</v>
      </c>
      <c r="AO28" s="101">
        <f t="shared" si="14"/>
        <v>0</v>
      </c>
      <c r="AP28" s="101">
        <f t="shared" si="15"/>
        <v>0</v>
      </c>
      <c r="AQ28" s="100" t="s">
        <v>57</v>
      </c>
      <c r="AV28" s="101">
        <f t="shared" si="16"/>
        <v>0</v>
      </c>
      <c r="AW28" s="101">
        <f t="shared" si="17"/>
        <v>0</v>
      </c>
      <c r="AX28" s="101">
        <f t="shared" si="18"/>
        <v>0</v>
      </c>
      <c r="AY28" s="102" t="s">
        <v>366</v>
      </c>
      <c r="AZ28" s="102" t="s">
        <v>372</v>
      </c>
      <c r="BA28" s="93" t="s">
        <v>389</v>
      </c>
      <c r="BC28" s="101">
        <f t="shared" si="19"/>
        <v>0</v>
      </c>
      <c r="BD28" s="101">
        <f t="shared" si="20"/>
        <v>0</v>
      </c>
      <c r="BE28" s="101">
        <v>0</v>
      </c>
      <c r="BF28" s="101">
        <f>28</f>
        <v>28</v>
      </c>
      <c r="BH28" s="99">
        <f t="shared" si="21"/>
        <v>0</v>
      </c>
      <c r="BI28" s="99">
        <f t="shared" si="22"/>
        <v>0</v>
      </c>
      <c r="BJ28" s="99">
        <f t="shared" si="23"/>
        <v>0</v>
      </c>
    </row>
    <row r="29" spans="1:62" ht="12.75">
      <c r="A29" s="13" t="s">
        <v>72</v>
      </c>
      <c r="B29" s="13" t="s">
        <v>178</v>
      </c>
      <c r="C29" s="48" t="s">
        <v>247</v>
      </c>
      <c r="D29" s="49"/>
      <c r="E29" s="49"/>
      <c r="F29" s="13" t="s">
        <v>324</v>
      </c>
      <c r="G29" s="23">
        <f>'Stavební rozpočet'!G29</f>
        <v>887</v>
      </c>
      <c r="H29" s="99">
        <f>'Stavební rozpočet'!H29</f>
        <v>0</v>
      </c>
      <c r="I29" s="99">
        <f t="shared" si="0"/>
        <v>0</v>
      </c>
      <c r="J29" s="99">
        <f t="shared" si="1"/>
        <v>0</v>
      </c>
      <c r="K29" s="99">
        <f t="shared" si="2"/>
        <v>0</v>
      </c>
      <c r="L29" s="100" t="s">
        <v>345</v>
      </c>
      <c r="Z29" s="101">
        <f t="shared" si="3"/>
        <v>0</v>
      </c>
      <c r="AB29" s="101">
        <f t="shared" si="4"/>
        <v>0</v>
      </c>
      <c r="AC29" s="101">
        <f t="shared" si="5"/>
        <v>0</v>
      </c>
      <c r="AD29" s="101">
        <f t="shared" si="6"/>
        <v>0</v>
      </c>
      <c r="AE29" s="101">
        <f t="shared" si="7"/>
        <v>0</v>
      </c>
      <c r="AF29" s="101">
        <f t="shared" si="8"/>
        <v>0</v>
      </c>
      <c r="AG29" s="101">
        <f t="shared" si="9"/>
        <v>0</v>
      </c>
      <c r="AH29" s="101">
        <f t="shared" si="10"/>
        <v>0</v>
      </c>
      <c r="AI29" s="93" t="s">
        <v>356</v>
      </c>
      <c r="AJ29" s="99">
        <f t="shared" si="11"/>
        <v>0</v>
      </c>
      <c r="AK29" s="99">
        <f t="shared" si="12"/>
        <v>0</v>
      </c>
      <c r="AL29" s="99">
        <f t="shared" si="13"/>
        <v>0</v>
      </c>
      <c r="AN29" s="101">
        <v>21</v>
      </c>
      <c r="AO29" s="101">
        <f t="shared" si="14"/>
        <v>0</v>
      </c>
      <c r="AP29" s="101">
        <f t="shared" si="15"/>
        <v>0</v>
      </c>
      <c r="AQ29" s="100" t="s">
        <v>57</v>
      </c>
      <c r="AV29" s="101">
        <f t="shared" si="16"/>
        <v>0</v>
      </c>
      <c r="AW29" s="101">
        <f t="shared" si="17"/>
        <v>0</v>
      </c>
      <c r="AX29" s="101">
        <f t="shared" si="18"/>
        <v>0</v>
      </c>
      <c r="AY29" s="102" t="s">
        <v>366</v>
      </c>
      <c r="AZ29" s="102" t="s">
        <v>372</v>
      </c>
      <c r="BA29" s="93" t="s">
        <v>389</v>
      </c>
      <c r="BC29" s="101">
        <f t="shared" si="19"/>
        <v>0</v>
      </c>
      <c r="BD29" s="101">
        <f t="shared" si="20"/>
        <v>0</v>
      </c>
      <c r="BE29" s="101">
        <v>0</v>
      </c>
      <c r="BF29" s="101">
        <f>29</f>
        <v>29</v>
      </c>
      <c r="BH29" s="99">
        <f t="shared" si="21"/>
        <v>0</v>
      </c>
      <c r="BI29" s="99">
        <f t="shared" si="22"/>
        <v>0</v>
      </c>
      <c r="BJ29" s="99">
        <f t="shared" si="23"/>
        <v>0</v>
      </c>
    </row>
    <row r="30" spans="1:62" ht="12.75">
      <c r="A30" s="13" t="s">
        <v>73</v>
      </c>
      <c r="B30" s="13" t="s">
        <v>179</v>
      </c>
      <c r="C30" s="48" t="s">
        <v>248</v>
      </c>
      <c r="D30" s="49"/>
      <c r="E30" s="49"/>
      <c r="F30" s="13" t="s">
        <v>325</v>
      </c>
      <c r="G30" s="23">
        <f>'Stavební rozpočet'!G30</f>
        <v>1238</v>
      </c>
      <c r="H30" s="99">
        <f>'Stavební rozpočet'!H30</f>
        <v>0</v>
      </c>
      <c r="I30" s="99">
        <f t="shared" si="0"/>
        <v>0</v>
      </c>
      <c r="J30" s="99">
        <f t="shared" si="1"/>
        <v>0</v>
      </c>
      <c r="K30" s="99">
        <f t="shared" si="2"/>
        <v>0</v>
      </c>
      <c r="L30" s="100" t="s">
        <v>346</v>
      </c>
      <c r="Z30" s="101">
        <f t="shared" si="3"/>
        <v>0</v>
      </c>
      <c r="AB30" s="101">
        <f t="shared" si="4"/>
        <v>0</v>
      </c>
      <c r="AC30" s="101">
        <f t="shared" si="5"/>
        <v>0</v>
      </c>
      <c r="AD30" s="101">
        <f t="shared" si="6"/>
        <v>0</v>
      </c>
      <c r="AE30" s="101">
        <f t="shared" si="7"/>
        <v>0</v>
      </c>
      <c r="AF30" s="101">
        <f t="shared" si="8"/>
        <v>0</v>
      </c>
      <c r="AG30" s="101">
        <f t="shared" si="9"/>
        <v>0</v>
      </c>
      <c r="AH30" s="101">
        <f t="shared" si="10"/>
        <v>0</v>
      </c>
      <c r="AI30" s="93" t="s">
        <v>356</v>
      </c>
      <c r="AJ30" s="99">
        <f t="shared" si="11"/>
        <v>0</v>
      </c>
      <c r="AK30" s="99">
        <f t="shared" si="12"/>
        <v>0</v>
      </c>
      <c r="AL30" s="99">
        <f t="shared" si="13"/>
        <v>0</v>
      </c>
      <c r="AN30" s="101">
        <v>21</v>
      </c>
      <c r="AO30" s="101">
        <f t="shared" si="14"/>
        <v>0</v>
      </c>
      <c r="AP30" s="101">
        <f t="shared" si="15"/>
        <v>0</v>
      </c>
      <c r="AQ30" s="100" t="s">
        <v>57</v>
      </c>
      <c r="AV30" s="101">
        <f t="shared" si="16"/>
        <v>0</v>
      </c>
      <c r="AW30" s="101">
        <f t="shared" si="17"/>
        <v>0</v>
      </c>
      <c r="AX30" s="101">
        <f t="shared" si="18"/>
        <v>0</v>
      </c>
      <c r="AY30" s="102" t="s">
        <v>366</v>
      </c>
      <c r="AZ30" s="102" t="s">
        <v>372</v>
      </c>
      <c r="BA30" s="93" t="s">
        <v>389</v>
      </c>
      <c r="BC30" s="101">
        <f t="shared" si="19"/>
        <v>0</v>
      </c>
      <c r="BD30" s="101">
        <f t="shared" si="20"/>
        <v>0</v>
      </c>
      <c r="BE30" s="101">
        <v>0</v>
      </c>
      <c r="BF30" s="101">
        <f>30</f>
        <v>30</v>
      </c>
      <c r="BH30" s="99">
        <f t="shared" si="21"/>
        <v>0</v>
      </c>
      <c r="BI30" s="99">
        <f t="shared" si="22"/>
        <v>0</v>
      </c>
      <c r="BJ30" s="99">
        <f t="shared" si="23"/>
        <v>0</v>
      </c>
    </row>
    <row r="31" spans="1:12" ht="12.75">
      <c r="A31" s="14"/>
      <c r="B31" s="21"/>
      <c r="C31" s="50" t="s">
        <v>249</v>
      </c>
      <c r="D31" s="51"/>
      <c r="E31" s="51"/>
      <c r="F31" s="14" t="s">
        <v>56</v>
      </c>
      <c r="G31" s="14" t="s">
        <v>56</v>
      </c>
      <c r="H31" s="103" t="s">
        <v>56</v>
      </c>
      <c r="I31" s="104">
        <f>I32</f>
        <v>0</v>
      </c>
      <c r="J31" s="104">
        <f>J32</f>
        <v>0</v>
      </c>
      <c r="K31" s="104">
        <f>K32</f>
        <v>0</v>
      </c>
      <c r="L31" s="105"/>
    </row>
    <row r="32" spans="1:47" ht="12.75">
      <c r="A32" s="12"/>
      <c r="B32" s="20" t="s">
        <v>67</v>
      </c>
      <c r="C32" s="46" t="s">
        <v>231</v>
      </c>
      <c r="D32" s="47"/>
      <c r="E32" s="47"/>
      <c r="F32" s="12" t="s">
        <v>56</v>
      </c>
      <c r="G32" s="12" t="s">
        <v>56</v>
      </c>
      <c r="H32" s="97" t="s">
        <v>56</v>
      </c>
      <c r="I32" s="98">
        <f>SUM(I33:I51)</f>
        <v>0</v>
      </c>
      <c r="J32" s="98">
        <f>SUM(J33:J51)</f>
        <v>0</v>
      </c>
      <c r="K32" s="98">
        <f>SUM(K33:K51)</f>
        <v>0</v>
      </c>
      <c r="L32" s="93"/>
      <c r="AI32" s="93" t="s">
        <v>357</v>
      </c>
      <c r="AS32" s="98">
        <f>SUM(AJ33:AJ51)</f>
        <v>0</v>
      </c>
      <c r="AT32" s="98">
        <f>SUM(AK33:AK51)</f>
        <v>0</v>
      </c>
      <c r="AU32" s="98">
        <f>SUM(AL33:AL51)</f>
        <v>0</v>
      </c>
    </row>
    <row r="33" spans="1:62" ht="12.75">
      <c r="A33" s="13" t="s">
        <v>74</v>
      </c>
      <c r="B33" s="13" t="s">
        <v>163</v>
      </c>
      <c r="C33" s="48" t="s">
        <v>232</v>
      </c>
      <c r="D33" s="49"/>
      <c r="E33" s="49"/>
      <c r="F33" s="13" t="s">
        <v>323</v>
      </c>
      <c r="G33" s="23">
        <f>'Stavební rozpočet'!G33</f>
        <v>8</v>
      </c>
      <c r="H33" s="99">
        <f>'Stavební rozpočet'!H33</f>
        <v>0</v>
      </c>
      <c r="I33" s="99">
        <f aca="true" t="shared" si="24" ref="I33:I51">G33*AO33</f>
        <v>0</v>
      </c>
      <c r="J33" s="99">
        <f aca="true" t="shared" si="25" ref="J33:J51">G33*AP33</f>
        <v>0</v>
      </c>
      <c r="K33" s="99">
        <f aca="true" t="shared" si="26" ref="K33:K51">G33*H33</f>
        <v>0</v>
      </c>
      <c r="L33" s="100" t="s">
        <v>344</v>
      </c>
      <c r="Z33" s="101">
        <f aca="true" t="shared" si="27" ref="Z33:Z51">IF(AQ33="5",BJ33,0)</f>
        <v>0</v>
      </c>
      <c r="AB33" s="101">
        <f aca="true" t="shared" si="28" ref="AB33:AB51">IF(AQ33="1",BH33,0)</f>
        <v>0</v>
      </c>
      <c r="AC33" s="101">
        <f aca="true" t="shared" si="29" ref="AC33:AC51">IF(AQ33="1",BI33,0)</f>
        <v>0</v>
      </c>
      <c r="AD33" s="101">
        <f aca="true" t="shared" si="30" ref="AD33:AD51">IF(AQ33="7",BH33,0)</f>
        <v>0</v>
      </c>
      <c r="AE33" s="101">
        <f aca="true" t="shared" si="31" ref="AE33:AE51">IF(AQ33="7",BI33,0)</f>
        <v>0</v>
      </c>
      <c r="AF33" s="101">
        <f aca="true" t="shared" si="32" ref="AF33:AF51">IF(AQ33="2",BH33,0)</f>
        <v>0</v>
      </c>
      <c r="AG33" s="101">
        <f aca="true" t="shared" si="33" ref="AG33:AG51">IF(AQ33="2",BI33,0)</f>
        <v>0</v>
      </c>
      <c r="AH33" s="101">
        <f aca="true" t="shared" si="34" ref="AH33:AH51">IF(AQ33="0",BJ33,0)</f>
        <v>0</v>
      </c>
      <c r="AI33" s="93" t="s">
        <v>357</v>
      </c>
      <c r="AJ33" s="99">
        <f aca="true" t="shared" si="35" ref="AJ33:AJ51">IF(AN33=0,K33,0)</f>
        <v>0</v>
      </c>
      <c r="AK33" s="99">
        <f aca="true" t="shared" si="36" ref="AK33:AK51">IF(AN33=15,K33,0)</f>
        <v>0</v>
      </c>
      <c r="AL33" s="99">
        <f aca="true" t="shared" si="37" ref="AL33:AL51">IF(AN33=21,K33,0)</f>
        <v>0</v>
      </c>
      <c r="AN33" s="101">
        <v>21</v>
      </c>
      <c r="AO33" s="101">
        <f aca="true" t="shared" si="38" ref="AO33:AO51">H33*0</f>
        <v>0</v>
      </c>
      <c r="AP33" s="101">
        <f aca="true" t="shared" si="39" ref="AP33:AP51">H33*(1-0)</f>
        <v>0</v>
      </c>
      <c r="AQ33" s="100" t="s">
        <v>57</v>
      </c>
      <c r="AV33" s="101">
        <f aca="true" t="shared" si="40" ref="AV33:AV51">AW33+AX33</f>
        <v>0</v>
      </c>
      <c r="AW33" s="101">
        <f aca="true" t="shared" si="41" ref="AW33:AW51">G33*AO33</f>
        <v>0</v>
      </c>
      <c r="AX33" s="101">
        <f aca="true" t="shared" si="42" ref="AX33:AX51">G33*AP33</f>
        <v>0</v>
      </c>
      <c r="AY33" s="102" t="s">
        <v>366</v>
      </c>
      <c r="AZ33" s="102" t="s">
        <v>373</v>
      </c>
      <c r="BA33" s="93" t="s">
        <v>390</v>
      </c>
      <c r="BC33" s="101">
        <f aca="true" t="shared" si="43" ref="BC33:BC51">AW33+AX33</f>
        <v>0</v>
      </c>
      <c r="BD33" s="101">
        <f aca="true" t="shared" si="44" ref="BD33:BD51">H33/(100-BE33)*100</f>
        <v>0</v>
      </c>
      <c r="BE33" s="101">
        <v>0</v>
      </c>
      <c r="BF33" s="101">
        <f>33</f>
        <v>33</v>
      </c>
      <c r="BH33" s="99">
        <f aca="true" t="shared" si="45" ref="BH33:BH51">G33*AO33</f>
        <v>0</v>
      </c>
      <c r="BI33" s="99">
        <f aca="true" t="shared" si="46" ref="BI33:BI51">G33*AP33</f>
        <v>0</v>
      </c>
      <c r="BJ33" s="99">
        <f aca="true" t="shared" si="47" ref="BJ33:BJ51">G33*H33</f>
        <v>0</v>
      </c>
    </row>
    <row r="34" spans="1:62" ht="12.75">
      <c r="A34" s="13" t="s">
        <v>75</v>
      </c>
      <c r="B34" s="13" t="s">
        <v>164</v>
      </c>
      <c r="C34" s="48" t="s">
        <v>233</v>
      </c>
      <c r="D34" s="49"/>
      <c r="E34" s="49"/>
      <c r="F34" s="13" t="s">
        <v>323</v>
      </c>
      <c r="G34" s="23">
        <f>'Stavební rozpočet'!G34</f>
        <v>3</v>
      </c>
      <c r="H34" s="99">
        <f>'Stavební rozpočet'!H34</f>
        <v>0</v>
      </c>
      <c r="I34" s="99">
        <f t="shared" si="24"/>
        <v>0</v>
      </c>
      <c r="J34" s="99">
        <f t="shared" si="25"/>
        <v>0</v>
      </c>
      <c r="K34" s="99">
        <f t="shared" si="26"/>
        <v>0</v>
      </c>
      <c r="L34" s="100" t="s">
        <v>344</v>
      </c>
      <c r="Z34" s="101">
        <f t="shared" si="27"/>
        <v>0</v>
      </c>
      <c r="AB34" s="101">
        <f t="shared" si="28"/>
        <v>0</v>
      </c>
      <c r="AC34" s="101">
        <f t="shared" si="29"/>
        <v>0</v>
      </c>
      <c r="AD34" s="101">
        <f t="shared" si="30"/>
        <v>0</v>
      </c>
      <c r="AE34" s="101">
        <f t="shared" si="31"/>
        <v>0</v>
      </c>
      <c r="AF34" s="101">
        <f t="shared" si="32"/>
        <v>0</v>
      </c>
      <c r="AG34" s="101">
        <f t="shared" si="33"/>
        <v>0</v>
      </c>
      <c r="AH34" s="101">
        <f t="shared" si="34"/>
        <v>0</v>
      </c>
      <c r="AI34" s="93" t="s">
        <v>357</v>
      </c>
      <c r="AJ34" s="99">
        <f t="shared" si="35"/>
        <v>0</v>
      </c>
      <c r="AK34" s="99">
        <f t="shared" si="36"/>
        <v>0</v>
      </c>
      <c r="AL34" s="99">
        <f t="shared" si="37"/>
        <v>0</v>
      </c>
      <c r="AN34" s="101">
        <v>21</v>
      </c>
      <c r="AO34" s="101">
        <f t="shared" si="38"/>
        <v>0</v>
      </c>
      <c r="AP34" s="101">
        <f t="shared" si="39"/>
        <v>0</v>
      </c>
      <c r="AQ34" s="100" t="s">
        <v>57</v>
      </c>
      <c r="AV34" s="101">
        <f t="shared" si="40"/>
        <v>0</v>
      </c>
      <c r="AW34" s="101">
        <f t="shared" si="41"/>
        <v>0</v>
      </c>
      <c r="AX34" s="101">
        <f t="shared" si="42"/>
        <v>0</v>
      </c>
      <c r="AY34" s="102" t="s">
        <v>366</v>
      </c>
      <c r="AZ34" s="102" t="s">
        <v>373</v>
      </c>
      <c r="BA34" s="93" t="s">
        <v>390</v>
      </c>
      <c r="BC34" s="101">
        <f t="shared" si="43"/>
        <v>0</v>
      </c>
      <c r="BD34" s="101">
        <f t="shared" si="44"/>
        <v>0</v>
      </c>
      <c r="BE34" s="101">
        <v>0</v>
      </c>
      <c r="BF34" s="101">
        <f>34</f>
        <v>34</v>
      </c>
      <c r="BH34" s="99">
        <f t="shared" si="45"/>
        <v>0</v>
      </c>
      <c r="BI34" s="99">
        <f t="shared" si="46"/>
        <v>0</v>
      </c>
      <c r="BJ34" s="99">
        <f t="shared" si="47"/>
        <v>0</v>
      </c>
    </row>
    <row r="35" spans="1:62" ht="12.75">
      <c r="A35" s="13" t="s">
        <v>76</v>
      </c>
      <c r="B35" s="13" t="s">
        <v>165</v>
      </c>
      <c r="C35" s="48" t="s">
        <v>234</v>
      </c>
      <c r="D35" s="49"/>
      <c r="E35" s="49"/>
      <c r="F35" s="13" t="s">
        <v>323</v>
      </c>
      <c r="G35" s="23">
        <f>'Stavební rozpočet'!G35</f>
        <v>8</v>
      </c>
      <c r="H35" s="99">
        <f>'Stavební rozpočet'!H35</f>
        <v>0</v>
      </c>
      <c r="I35" s="99">
        <f t="shared" si="24"/>
        <v>0</v>
      </c>
      <c r="J35" s="99">
        <f t="shared" si="25"/>
        <v>0</v>
      </c>
      <c r="K35" s="99">
        <f t="shared" si="26"/>
        <v>0</v>
      </c>
      <c r="L35" s="100" t="s">
        <v>344</v>
      </c>
      <c r="Z35" s="101">
        <f t="shared" si="27"/>
        <v>0</v>
      </c>
      <c r="AB35" s="101">
        <f t="shared" si="28"/>
        <v>0</v>
      </c>
      <c r="AC35" s="101">
        <f t="shared" si="29"/>
        <v>0</v>
      </c>
      <c r="AD35" s="101">
        <f t="shared" si="30"/>
        <v>0</v>
      </c>
      <c r="AE35" s="101">
        <f t="shared" si="31"/>
        <v>0</v>
      </c>
      <c r="AF35" s="101">
        <f t="shared" si="32"/>
        <v>0</v>
      </c>
      <c r="AG35" s="101">
        <f t="shared" si="33"/>
        <v>0</v>
      </c>
      <c r="AH35" s="101">
        <f t="shared" si="34"/>
        <v>0</v>
      </c>
      <c r="AI35" s="93" t="s">
        <v>357</v>
      </c>
      <c r="AJ35" s="99">
        <f t="shared" si="35"/>
        <v>0</v>
      </c>
      <c r="AK35" s="99">
        <f t="shared" si="36"/>
        <v>0</v>
      </c>
      <c r="AL35" s="99">
        <f t="shared" si="37"/>
        <v>0</v>
      </c>
      <c r="AN35" s="101">
        <v>21</v>
      </c>
      <c r="AO35" s="101">
        <f t="shared" si="38"/>
        <v>0</v>
      </c>
      <c r="AP35" s="101">
        <f t="shared" si="39"/>
        <v>0</v>
      </c>
      <c r="AQ35" s="100" t="s">
        <v>57</v>
      </c>
      <c r="AV35" s="101">
        <f t="shared" si="40"/>
        <v>0</v>
      </c>
      <c r="AW35" s="101">
        <f t="shared" si="41"/>
        <v>0</v>
      </c>
      <c r="AX35" s="101">
        <f t="shared" si="42"/>
        <v>0</v>
      </c>
      <c r="AY35" s="102" t="s">
        <v>366</v>
      </c>
      <c r="AZ35" s="102" t="s">
        <v>373</v>
      </c>
      <c r="BA35" s="93" t="s">
        <v>390</v>
      </c>
      <c r="BC35" s="101">
        <f t="shared" si="43"/>
        <v>0</v>
      </c>
      <c r="BD35" s="101">
        <f t="shared" si="44"/>
        <v>0</v>
      </c>
      <c r="BE35" s="101">
        <v>0</v>
      </c>
      <c r="BF35" s="101">
        <f>35</f>
        <v>35</v>
      </c>
      <c r="BH35" s="99">
        <f t="shared" si="45"/>
        <v>0</v>
      </c>
      <c r="BI35" s="99">
        <f t="shared" si="46"/>
        <v>0</v>
      </c>
      <c r="BJ35" s="99">
        <f t="shared" si="47"/>
        <v>0</v>
      </c>
    </row>
    <row r="36" spans="1:62" ht="12.75">
      <c r="A36" s="13" t="s">
        <v>77</v>
      </c>
      <c r="B36" s="13" t="s">
        <v>166</v>
      </c>
      <c r="C36" s="48" t="s">
        <v>235</v>
      </c>
      <c r="D36" s="49"/>
      <c r="E36" s="49"/>
      <c r="F36" s="13" t="s">
        <v>323</v>
      </c>
      <c r="G36" s="23">
        <f>'Stavební rozpočet'!G36</f>
        <v>6</v>
      </c>
      <c r="H36" s="99">
        <f>'Stavební rozpočet'!H36</f>
        <v>0</v>
      </c>
      <c r="I36" s="99">
        <f t="shared" si="24"/>
        <v>0</v>
      </c>
      <c r="J36" s="99">
        <f t="shared" si="25"/>
        <v>0</v>
      </c>
      <c r="K36" s="99">
        <f t="shared" si="26"/>
        <v>0</v>
      </c>
      <c r="L36" s="100" t="s">
        <v>344</v>
      </c>
      <c r="Z36" s="101">
        <f t="shared" si="27"/>
        <v>0</v>
      </c>
      <c r="AB36" s="101">
        <f t="shared" si="28"/>
        <v>0</v>
      </c>
      <c r="AC36" s="101">
        <f t="shared" si="29"/>
        <v>0</v>
      </c>
      <c r="AD36" s="101">
        <f t="shared" si="30"/>
        <v>0</v>
      </c>
      <c r="AE36" s="101">
        <f t="shared" si="31"/>
        <v>0</v>
      </c>
      <c r="AF36" s="101">
        <f t="shared" si="32"/>
        <v>0</v>
      </c>
      <c r="AG36" s="101">
        <f t="shared" si="33"/>
        <v>0</v>
      </c>
      <c r="AH36" s="101">
        <f t="shared" si="34"/>
        <v>0</v>
      </c>
      <c r="AI36" s="93" t="s">
        <v>357</v>
      </c>
      <c r="AJ36" s="99">
        <f t="shared" si="35"/>
        <v>0</v>
      </c>
      <c r="AK36" s="99">
        <f t="shared" si="36"/>
        <v>0</v>
      </c>
      <c r="AL36" s="99">
        <f t="shared" si="37"/>
        <v>0</v>
      </c>
      <c r="AN36" s="101">
        <v>21</v>
      </c>
      <c r="AO36" s="101">
        <f t="shared" si="38"/>
        <v>0</v>
      </c>
      <c r="AP36" s="101">
        <f t="shared" si="39"/>
        <v>0</v>
      </c>
      <c r="AQ36" s="100" t="s">
        <v>57</v>
      </c>
      <c r="AV36" s="101">
        <f t="shared" si="40"/>
        <v>0</v>
      </c>
      <c r="AW36" s="101">
        <f t="shared" si="41"/>
        <v>0</v>
      </c>
      <c r="AX36" s="101">
        <f t="shared" si="42"/>
        <v>0</v>
      </c>
      <c r="AY36" s="102" t="s">
        <v>366</v>
      </c>
      <c r="AZ36" s="102" t="s">
        <v>373</v>
      </c>
      <c r="BA36" s="93" t="s">
        <v>390</v>
      </c>
      <c r="BC36" s="101">
        <f t="shared" si="43"/>
        <v>0</v>
      </c>
      <c r="BD36" s="101">
        <f t="shared" si="44"/>
        <v>0</v>
      </c>
      <c r="BE36" s="101">
        <v>0</v>
      </c>
      <c r="BF36" s="101">
        <f>36</f>
        <v>36</v>
      </c>
      <c r="BH36" s="99">
        <f t="shared" si="45"/>
        <v>0</v>
      </c>
      <c r="BI36" s="99">
        <f t="shared" si="46"/>
        <v>0</v>
      </c>
      <c r="BJ36" s="99">
        <f t="shared" si="47"/>
        <v>0</v>
      </c>
    </row>
    <row r="37" spans="1:62" ht="12.75">
      <c r="A37" s="13" t="s">
        <v>78</v>
      </c>
      <c r="B37" s="13" t="s">
        <v>167</v>
      </c>
      <c r="C37" s="48" t="s">
        <v>236</v>
      </c>
      <c r="D37" s="49"/>
      <c r="E37" s="49"/>
      <c r="F37" s="13" t="s">
        <v>323</v>
      </c>
      <c r="G37" s="23">
        <f>'Stavební rozpočet'!G37</f>
        <v>10</v>
      </c>
      <c r="H37" s="99">
        <f>'Stavební rozpočet'!H37</f>
        <v>0</v>
      </c>
      <c r="I37" s="99">
        <f t="shared" si="24"/>
        <v>0</v>
      </c>
      <c r="J37" s="99">
        <f t="shared" si="25"/>
        <v>0</v>
      </c>
      <c r="K37" s="99">
        <f t="shared" si="26"/>
        <v>0</v>
      </c>
      <c r="L37" s="100" t="s">
        <v>344</v>
      </c>
      <c r="Z37" s="101">
        <f t="shared" si="27"/>
        <v>0</v>
      </c>
      <c r="AB37" s="101">
        <f t="shared" si="28"/>
        <v>0</v>
      </c>
      <c r="AC37" s="101">
        <f t="shared" si="29"/>
        <v>0</v>
      </c>
      <c r="AD37" s="101">
        <f t="shared" si="30"/>
        <v>0</v>
      </c>
      <c r="AE37" s="101">
        <f t="shared" si="31"/>
        <v>0</v>
      </c>
      <c r="AF37" s="101">
        <f t="shared" si="32"/>
        <v>0</v>
      </c>
      <c r="AG37" s="101">
        <f t="shared" si="33"/>
        <v>0</v>
      </c>
      <c r="AH37" s="101">
        <f t="shared" si="34"/>
        <v>0</v>
      </c>
      <c r="AI37" s="93" t="s">
        <v>357</v>
      </c>
      <c r="AJ37" s="99">
        <f t="shared" si="35"/>
        <v>0</v>
      </c>
      <c r="AK37" s="99">
        <f t="shared" si="36"/>
        <v>0</v>
      </c>
      <c r="AL37" s="99">
        <f t="shared" si="37"/>
        <v>0</v>
      </c>
      <c r="AN37" s="101">
        <v>21</v>
      </c>
      <c r="AO37" s="101">
        <f t="shared" si="38"/>
        <v>0</v>
      </c>
      <c r="AP37" s="101">
        <f t="shared" si="39"/>
        <v>0</v>
      </c>
      <c r="AQ37" s="100" t="s">
        <v>57</v>
      </c>
      <c r="AV37" s="101">
        <f t="shared" si="40"/>
        <v>0</v>
      </c>
      <c r="AW37" s="101">
        <f t="shared" si="41"/>
        <v>0</v>
      </c>
      <c r="AX37" s="101">
        <f t="shared" si="42"/>
        <v>0</v>
      </c>
      <c r="AY37" s="102" t="s">
        <v>366</v>
      </c>
      <c r="AZ37" s="102" t="s">
        <v>373</v>
      </c>
      <c r="BA37" s="93" t="s">
        <v>390</v>
      </c>
      <c r="BC37" s="101">
        <f t="shared" si="43"/>
        <v>0</v>
      </c>
      <c r="BD37" s="101">
        <f t="shared" si="44"/>
        <v>0</v>
      </c>
      <c r="BE37" s="101">
        <v>0</v>
      </c>
      <c r="BF37" s="101">
        <f>37</f>
        <v>37</v>
      </c>
      <c r="BH37" s="99">
        <f t="shared" si="45"/>
        <v>0</v>
      </c>
      <c r="BI37" s="99">
        <f t="shared" si="46"/>
        <v>0</v>
      </c>
      <c r="BJ37" s="99">
        <f t="shared" si="47"/>
        <v>0</v>
      </c>
    </row>
    <row r="38" spans="1:62" ht="12.75">
      <c r="A38" s="13" t="s">
        <v>79</v>
      </c>
      <c r="B38" s="13" t="s">
        <v>168</v>
      </c>
      <c r="C38" s="48" t="s">
        <v>237</v>
      </c>
      <c r="D38" s="49"/>
      <c r="E38" s="49"/>
      <c r="F38" s="13" t="s">
        <v>323</v>
      </c>
      <c r="G38" s="23">
        <f>'Stavební rozpočet'!G38</f>
        <v>15</v>
      </c>
      <c r="H38" s="99">
        <f>'Stavební rozpočet'!H38</f>
        <v>0</v>
      </c>
      <c r="I38" s="99">
        <f t="shared" si="24"/>
        <v>0</v>
      </c>
      <c r="J38" s="99">
        <f t="shared" si="25"/>
        <v>0</v>
      </c>
      <c r="K38" s="99">
        <f t="shared" si="26"/>
        <v>0</v>
      </c>
      <c r="L38" s="100" t="s">
        <v>344</v>
      </c>
      <c r="Z38" s="101">
        <f t="shared" si="27"/>
        <v>0</v>
      </c>
      <c r="AB38" s="101">
        <f t="shared" si="28"/>
        <v>0</v>
      </c>
      <c r="AC38" s="101">
        <f t="shared" si="29"/>
        <v>0</v>
      </c>
      <c r="AD38" s="101">
        <f t="shared" si="30"/>
        <v>0</v>
      </c>
      <c r="AE38" s="101">
        <f t="shared" si="31"/>
        <v>0</v>
      </c>
      <c r="AF38" s="101">
        <f t="shared" si="32"/>
        <v>0</v>
      </c>
      <c r="AG38" s="101">
        <f t="shared" si="33"/>
        <v>0</v>
      </c>
      <c r="AH38" s="101">
        <f t="shared" si="34"/>
        <v>0</v>
      </c>
      <c r="AI38" s="93" t="s">
        <v>357</v>
      </c>
      <c r="AJ38" s="99">
        <f t="shared" si="35"/>
        <v>0</v>
      </c>
      <c r="AK38" s="99">
        <f t="shared" si="36"/>
        <v>0</v>
      </c>
      <c r="AL38" s="99">
        <f t="shared" si="37"/>
        <v>0</v>
      </c>
      <c r="AN38" s="101">
        <v>21</v>
      </c>
      <c r="AO38" s="101">
        <f t="shared" si="38"/>
        <v>0</v>
      </c>
      <c r="AP38" s="101">
        <f t="shared" si="39"/>
        <v>0</v>
      </c>
      <c r="AQ38" s="100" t="s">
        <v>57</v>
      </c>
      <c r="AV38" s="101">
        <f t="shared" si="40"/>
        <v>0</v>
      </c>
      <c r="AW38" s="101">
        <f t="shared" si="41"/>
        <v>0</v>
      </c>
      <c r="AX38" s="101">
        <f t="shared" si="42"/>
        <v>0</v>
      </c>
      <c r="AY38" s="102" t="s">
        <v>366</v>
      </c>
      <c r="AZ38" s="102" t="s">
        <v>373</v>
      </c>
      <c r="BA38" s="93" t="s">
        <v>390</v>
      </c>
      <c r="BC38" s="101">
        <f t="shared" si="43"/>
        <v>0</v>
      </c>
      <c r="BD38" s="101">
        <f t="shared" si="44"/>
        <v>0</v>
      </c>
      <c r="BE38" s="101">
        <v>0</v>
      </c>
      <c r="BF38" s="101">
        <f>38</f>
        <v>38</v>
      </c>
      <c r="BH38" s="99">
        <f t="shared" si="45"/>
        <v>0</v>
      </c>
      <c r="BI38" s="99">
        <f t="shared" si="46"/>
        <v>0</v>
      </c>
      <c r="BJ38" s="99">
        <f t="shared" si="47"/>
        <v>0</v>
      </c>
    </row>
    <row r="39" spans="1:62" ht="12.75">
      <c r="A39" s="13" t="s">
        <v>80</v>
      </c>
      <c r="B39" s="13" t="s">
        <v>169</v>
      </c>
      <c r="C39" s="48" t="s">
        <v>238</v>
      </c>
      <c r="D39" s="49"/>
      <c r="E39" s="49"/>
      <c r="F39" s="13" t="s">
        <v>323</v>
      </c>
      <c r="G39" s="23">
        <f>'Stavební rozpočet'!G39</f>
        <v>14</v>
      </c>
      <c r="H39" s="99">
        <f>'Stavební rozpočet'!H39</f>
        <v>0</v>
      </c>
      <c r="I39" s="99">
        <f t="shared" si="24"/>
        <v>0</v>
      </c>
      <c r="J39" s="99">
        <f t="shared" si="25"/>
        <v>0</v>
      </c>
      <c r="K39" s="99">
        <f t="shared" si="26"/>
        <v>0</v>
      </c>
      <c r="L39" s="100" t="s">
        <v>344</v>
      </c>
      <c r="Z39" s="101">
        <f t="shared" si="27"/>
        <v>0</v>
      </c>
      <c r="AB39" s="101">
        <f t="shared" si="28"/>
        <v>0</v>
      </c>
      <c r="AC39" s="101">
        <f t="shared" si="29"/>
        <v>0</v>
      </c>
      <c r="AD39" s="101">
        <f t="shared" si="30"/>
        <v>0</v>
      </c>
      <c r="AE39" s="101">
        <f t="shared" si="31"/>
        <v>0</v>
      </c>
      <c r="AF39" s="101">
        <f t="shared" si="32"/>
        <v>0</v>
      </c>
      <c r="AG39" s="101">
        <f t="shared" si="33"/>
        <v>0</v>
      </c>
      <c r="AH39" s="101">
        <f t="shared" si="34"/>
        <v>0</v>
      </c>
      <c r="AI39" s="93" t="s">
        <v>357</v>
      </c>
      <c r="AJ39" s="99">
        <f t="shared" si="35"/>
        <v>0</v>
      </c>
      <c r="AK39" s="99">
        <f t="shared" si="36"/>
        <v>0</v>
      </c>
      <c r="AL39" s="99">
        <f t="shared" si="37"/>
        <v>0</v>
      </c>
      <c r="AN39" s="101">
        <v>21</v>
      </c>
      <c r="AO39" s="101">
        <f t="shared" si="38"/>
        <v>0</v>
      </c>
      <c r="AP39" s="101">
        <f t="shared" si="39"/>
        <v>0</v>
      </c>
      <c r="AQ39" s="100" t="s">
        <v>57</v>
      </c>
      <c r="AV39" s="101">
        <f t="shared" si="40"/>
        <v>0</v>
      </c>
      <c r="AW39" s="101">
        <f t="shared" si="41"/>
        <v>0</v>
      </c>
      <c r="AX39" s="101">
        <f t="shared" si="42"/>
        <v>0</v>
      </c>
      <c r="AY39" s="102" t="s">
        <v>366</v>
      </c>
      <c r="AZ39" s="102" t="s">
        <v>373</v>
      </c>
      <c r="BA39" s="93" t="s">
        <v>390</v>
      </c>
      <c r="BC39" s="101">
        <f t="shared" si="43"/>
        <v>0</v>
      </c>
      <c r="BD39" s="101">
        <f t="shared" si="44"/>
        <v>0</v>
      </c>
      <c r="BE39" s="101">
        <v>0</v>
      </c>
      <c r="BF39" s="101">
        <f>39</f>
        <v>39</v>
      </c>
      <c r="BH39" s="99">
        <f t="shared" si="45"/>
        <v>0</v>
      </c>
      <c r="BI39" s="99">
        <f t="shared" si="46"/>
        <v>0</v>
      </c>
      <c r="BJ39" s="99">
        <f t="shared" si="47"/>
        <v>0</v>
      </c>
    </row>
    <row r="40" spans="1:62" ht="12.75">
      <c r="A40" s="13" t="s">
        <v>81</v>
      </c>
      <c r="B40" s="13" t="s">
        <v>170</v>
      </c>
      <c r="C40" s="48" t="s">
        <v>239</v>
      </c>
      <c r="D40" s="49"/>
      <c r="E40" s="49"/>
      <c r="F40" s="13" t="s">
        <v>323</v>
      </c>
      <c r="G40" s="23">
        <f>'Stavební rozpočet'!G40</f>
        <v>8</v>
      </c>
      <c r="H40" s="99">
        <f>'Stavební rozpočet'!H40</f>
        <v>0</v>
      </c>
      <c r="I40" s="99">
        <f t="shared" si="24"/>
        <v>0</v>
      </c>
      <c r="J40" s="99">
        <f t="shared" si="25"/>
        <v>0</v>
      </c>
      <c r="K40" s="99">
        <f t="shared" si="26"/>
        <v>0</v>
      </c>
      <c r="L40" s="100" t="s">
        <v>344</v>
      </c>
      <c r="Z40" s="101">
        <f t="shared" si="27"/>
        <v>0</v>
      </c>
      <c r="AB40" s="101">
        <f t="shared" si="28"/>
        <v>0</v>
      </c>
      <c r="AC40" s="101">
        <f t="shared" si="29"/>
        <v>0</v>
      </c>
      <c r="AD40" s="101">
        <f t="shared" si="30"/>
        <v>0</v>
      </c>
      <c r="AE40" s="101">
        <f t="shared" si="31"/>
        <v>0</v>
      </c>
      <c r="AF40" s="101">
        <f t="shared" si="32"/>
        <v>0</v>
      </c>
      <c r="AG40" s="101">
        <f t="shared" si="33"/>
        <v>0</v>
      </c>
      <c r="AH40" s="101">
        <f t="shared" si="34"/>
        <v>0</v>
      </c>
      <c r="AI40" s="93" t="s">
        <v>357</v>
      </c>
      <c r="AJ40" s="99">
        <f t="shared" si="35"/>
        <v>0</v>
      </c>
      <c r="AK40" s="99">
        <f t="shared" si="36"/>
        <v>0</v>
      </c>
      <c r="AL40" s="99">
        <f t="shared" si="37"/>
        <v>0</v>
      </c>
      <c r="AN40" s="101">
        <v>21</v>
      </c>
      <c r="AO40" s="101">
        <f t="shared" si="38"/>
        <v>0</v>
      </c>
      <c r="AP40" s="101">
        <f t="shared" si="39"/>
        <v>0</v>
      </c>
      <c r="AQ40" s="100" t="s">
        <v>57</v>
      </c>
      <c r="AV40" s="101">
        <f t="shared" si="40"/>
        <v>0</v>
      </c>
      <c r="AW40" s="101">
        <f t="shared" si="41"/>
        <v>0</v>
      </c>
      <c r="AX40" s="101">
        <f t="shared" si="42"/>
        <v>0</v>
      </c>
      <c r="AY40" s="102" t="s">
        <v>366</v>
      </c>
      <c r="AZ40" s="102" t="s">
        <v>373</v>
      </c>
      <c r="BA40" s="93" t="s">
        <v>390</v>
      </c>
      <c r="BC40" s="101">
        <f t="shared" si="43"/>
        <v>0</v>
      </c>
      <c r="BD40" s="101">
        <f t="shared" si="44"/>
        <v>0</v>
      </c>
      <c r="BE40" s="101">
        <v>0</v>
      </c>
      <c r="BF40" s="101">
        <f>40</f>
        <v>40</v>
      </c>
      <c r="BH40" s="99">
        <f t="shared" si="45"/>
        <v>0</v>
      </c>
      <c r="BI40" s="99">
        <f t="shared" si="46"/>
        <v>0</v>
      </c>
      <c r="BJ40" s="99">
        <f t="shared" si="47"/>
        <v>0</v>
      </c>
    </row>
    <row r="41" spans="1:62" ht="12.75">
      <c r="A41" s="13" t="s">
        <v>82</v>
      </c>
      <c r="B41" s="13" t="s">
        <v>180</v>
      </c>
      <c r="C41" s="48" t="s">
        <v>250</v>
      </c>
      <c r="D41" s="49"/>
      <c r="E41" s="49"/>
      <c r="F41" s="13" t="s">
        <v>323</v>
      </c>
      <c r="G41" s="23">
        <f>'Stavební rozpočet'!G41</f>
        <v>8</v>
      </c>
      <c r="H41" s="99">
        <f>'Stavební rozpočet'!H41</f>
        <v>0</v>
      </c>
      <c r="I41" s="99">
        <f t="shared" si="24"/>
        <v>0</v>
      </c>
      <c r="J41" s="99">
        <f t="shared" si="25"/>
        <v>0</v>
      </c>
      <c r="K41" s="99">
        <f t="shared" si="26"/>
        <v>0</v>
      </c>
      <c r="L41" s="100" t="s">
        <v>344</v>
      </c>
      <c r="Z41" s="101">
        <f t="shared" si="27"/>
        <v>0</v>
      </c>
      <c r="AB41" s="101">
        <f t="shared" si="28"/>
        <v>0</v>
      </c>
      <c r="AC41" s="101">
        <f t="shared" si="29"/>
        <v>0</v>
      </c>
      <c r="AD41" s="101">
        <f t="shared" si="30"/>
        <v>0</v>
      </c>
      <c r="AE41" s="101">
        <f t="shared" si="31"/>
        <v>0</v>
      </c>
      <c r="AF41" s="101">
        <f t="shared" si="32"/>
        <v>0</v>
      </c>
      <c r="AG41" s="101">
        <f t="shared" si="33"/>
        <v>0</v>
      </c>
      <c r="AH41" s="101">
        <f t="shared" si="34"/>
        <v>0</v>
      </c>
      <c r="AI41" s="93" t="s">
        <v>357</v>
      </c>
      <c r="AJ41" s="99">
        <f t="shared" si="35"/>
        <v>0</v>
      </c>
      <c r="AK41" s="99">
        <f t="shared" si="36"/>
        <v>0</v>
      </c>
      <c r="AL41" s="99">
        <f t="shared" si="37"/>
        <v>0</v>
      </c>
      <c r="AN41" s="101">
        <v>21</v>
      </c>
      <c r="AO41" s="101">
        <f t="shared" si="38"/>
        <v>0</v>
      </c>
      <c r="AP41" s="101">
        <f t="shared" si="39"/>
        <v>0</v>
      </c>
      <c r="AQ41" s="100" t="s">
        <v>57</v>
      </c>
      <c r="AV41" s="101">
        <f t="shared" si="40"/>
        <v>0</v>
      </c>
      <c r="AW41" s="101">
        <f t="shared" si="41"/>
        <v>0</v>
      </c>
      <c r="AX41" s="101">
        <f t="shared" si="42"/>
        <v>0</v>
      </c>
      <c r="AY41" s="102" t="s">
        <v>366</v>
      </c>
      <c r="AZ41" s="102" t="s">
        <v>373</v>
      </c>
      <c r="BA41" s="93" t="s">
        <v>390</v>
      </c>
      <c r="BC41" s="101">
        <f t="shared" si="43"/>
        <v>0</v>
      </c>
      <c r="BD41" s="101">
        <f t="shared" si="44"/>
        <v>0</v>
      </c>
      <c r="BE41" s="101">
        <v>0</v>
      </c>
      <c r="BF41" s="101">
        <f>41</f>
        <v>41</v>
      </c>
      <c r="BH41" s="99">
        <f t="shared" si="45"/>
        <v>0</v>
      </c>
      <c r="BI41" s="99">
        <f t="shared" si="46"/>
        <v>0</v>
      </c>
      <c r="BJ41" s="99">
        <f t="shared" si="47"/>
        <v>0</v>
      </c>
    </row>
    <row r="42" spans="1:62" ht="12.75">
      <c r="A42" s="13" t="s">
        <v>83</v>
      </c>
      <c r="B42" s="13" t="s">
        <v>181</v>
      </c>
      <c r="C42" s="48" t="s">
        <v>251</v>
      </c>
      <c r="D42" s="49"/>
      <c r="E42" s="49"/>
      <c r="F42" s="13" t="s">
        <v>323</v>
      </c>
      <c r="G42" s="23">
        <f>'Stavební rozpočet'!G42</f>
        <v>12</v>
      </c>
      <c r="H42" s="99">
        <f>'Stavební rozpočet'!H42</f>
        <v>0</v>
      </c>
      <c r="I42" s="99">
        <f t="shared" si="24"/>
        <v>0</v>
      </c>
      <c r="J42" s="99">
        <f t="shared" si="25"/>
        <v>0</v>
      </c>
      <c r="K42" s="99">
        <f t="shared" si="26"/>
        <v>0</v>
      </c>
      <c r="L42" s="100" t="s">
        <v>344</v>
      </c>
      <c r="Z42" s="101">
        <f t="shared" si="27"/>
        <v>0</v>
      </c>
      <c r="AB42" s="101">
        <f t="shared" si="28"/>
        <v>0</v>
      </c>
      <c r="AC42" s="101">
        <f t="shared" si="29"/>
        <v>0</v>
      </c>
      <c r="AD42" s="101">
        <f t="shared" si="30"/>
        <v>0</v>
      </c>
      <c r="AE42" s="101">
        <f t="shared" si="31"/>
        <v>0</v>
      </c>
      <c r="AF42" s="101">
        <f t="shared" si="32"/>
        <v>0</v>
      </c>
      <c r="AG42" s="101">
        <f t="shared" si="33"/>
        <v>0</v>
      </c>
      <c r="AH42" s="101">
        <f t="shared" si="34"/>
        <v>0</v>
      </c>
      <c r="AI42" s="93" t="s">
        <v>357</v>
      </c>
      <c r="AJ42" s="99">
        <f t="shared" si="35"/>
        <v>0</v>
      </c>
      <c r="AK42" s="99">
        <f t="shared" si="36"/>
        <v>0</v>
      </c>
      <c r="AL42" s="99">
        <f t="shared" si="37"/>
        <v>0</v>
      </c>
      <c r="AN42" s="101">
        <v>21</v>
      </c>
      <c r="AO42" s="101">
        <f t="shared" si="38"/>
        <v>0</v>
      </c>
      <c r="AP42" s="101">
        <f t="shared" si="39"/>
        <v>0</v>
      </c>
      <c r="AQ42" s="100" t="s">
        <v>57</v>
      </c>
      <c r="AV42" s="101">
        <f t="shared" si="40"/>
        <v>0</v>
      </c>
      <c r="AW42" s="101">
        <f t="shared" si="41"/>
        <v>0</v>
      </c>
      <c r="AX42" s="101">
        <f t="shared" si="42"/>
        <v>0</v>
      </c>
      <c r="AY42" s="102" t="s">
        <v>366</v>
      </c>
      <c r="AZ42" s="102" t="s">
        <v>373</v>
      </c>
      <c r="BA42" s="93" t="s">
        <v>390</v>
      </c>
      <c r="BC42" s="101">
        <f t="shared" si="43"/>
        <v>0</v>
      </c>
      <c r="BD42" s="101">
        <f t="shared" si="44"/>
        <v>0</v>
      </c>
      <c r="BE42" s="101">
        <v>0</v>
      </c>
      <c r="BF42" s="101">
        <f>42</f>
        <v>42</v>
      </c>
      <c r="BH42" s="99">
        <f t="shared" si="45"/>
        <v>0</v>
      </c>
      <c r="BI42" s="99">
        <f t="shared" si="46"/>
        <v>0</v>
      </c>
      <c r="BJ42" s="99">
        <f t="shared" si="47"/>
        <v>0</v>
      </c>
    </row>
    <row r="43" spans="1:62" ht="12.75">
      <c r="A43" s="13" t="s">
        <v>84</v>
      </c>
      <c r="B43" s="13" t="s">
        <v>171</v>
      </c>
      <c r="C43" s="48" t="s">
        <v>240</v>
      </c>
      <c r="D43" s="49"/>
      <c r="E43" s="49"/>
      <c r="F43" s="13" t="s">
        <v>323</v>
      </c>
      <c r="G43" s="23">
        <f>'Stavební rozpočet'!G43</f>
        <v>2</v>
      </c>
      <c r="H43" s="99">
        <f>'Stavební rozpočet'!H43</f>
        <v>0</v>
      </c>
      <c r="I43" s="99">
        <f t="shared" si="24"/>
        <v>0</v>
      </c>
      <c r="J43" s="99">
        <f t="shared" si="25"/>
        <v>0</v>
      </c>
      <c r="K43" s="99">
        <f t="shared" si="26"/>
        <v>0</v>
      </c>
      <c r="L43" s="100" t="s">
        <v>344</v>
      </c>
      <c r="Z43" s="101">
        <f t="shared" si="27"/>
        <v>0</v>
      </c>
      <c r="AB43" s="101">
        <f t="shared" si="28"/>
        <v>0</v>
      </c>
      <c r="AC43" s="101">
        <f t="shared" si="29"/>
        <v>0</v>
      </c>
      <c r="AD43" s="101">
        <f t="shared" si="30"/>
        <v>0</v>
      </c>
      <c r="AE43" s="101">
        <f t="shared" si="31"/>
        <v>0</v>
      </c>
      <c r="AF43" s="101">
        <f t="shared" si="32"/>
        <v>0</v>
      </c>
      <c r="AG43" s="101">
        <f t="shared" si="33"/>
        <v>0</v>
      </c>
      <c r="AH43" s="101">
        <f t="shared" si="34"/>
        <v>0</v>
      </c>
      <c r="AI43" s="93" t="s">
        <v>357</v>
      </c>
      <c r="AJ43" s="99">
        <f t="shared" si="35"/>
        <v>0</v>
      </c>
      <c r="AK43" s="99">
        <f t="shared" si="36"/>
        <v>0</v>
      </c>
      <c r="AL43" s="99">
        <f t="shared" si="37"/>
        <v>0</v>
      </c>
      <c r="AN43" s="101">
        <v>21</v>
      </c>
      <c r="AO43" s="101">
        <f t="shared" si="38"/>
        <v>0</v>
      </c>
      <c r="AP43" s="101">
        <f t="shared" si="39"/>
        <v>0</v>
      </c>
      <c r="AQ43" s="100" t="s">
        <v>57</v>
      </c>
      <c r="AV43" s="101">
        <f t="shared" si="40"/>
        <v>0</v>
      </c>
      <c r="AW43" s="101">
        <f t="shared" si="41"/>
        <v>0</v>
      </c>
      <c r="AX43" s="101">
        <f t="shared" si="42"/>
        <v>0</v>
      </c>
      <c r="AY43" s="102" t="s">
        <v>366</v>
      </c>
      <c r="AZ43" s="102" t="s">
        <v>373</v>
      </c>
      <c r="BA43" s="93" t="s">
        <v>390</v>
      </c>
      <c r="BC43" s="101">
        <f t="shared" si="43"/>
        <v>0</v>
      </c>
      <c r="BD43" s="101">
        <f t="shared" si="44"/>
        <v>0</v>
      </c>
      <c r="BE43" s="101">
        <v>0</v>
      </c>
      <c r="BF43" s="101">
        <f>43</f>
        <v>43</v>
      </c>
      <c r="BH43" s="99">
        <f t="shared" si="45"/>
        <v>0</v>
      </c>
      <c r="BI43" s="99">
        <f t="shared" si="46"/>
        <v>0</v>
      </c>
      <c r="BJ43" s="99">
        <f t="shared" si="47"/>
        <v>0</v>
      </c>
    </row>
    <row r="44" spans="1:62" ht="12.75">
      <c r="A44" s="13" t="s">
        <v>85</v>
      </c>
      <c r="B44" s="13" t="s">
        <v>172</v>
      </c>
      <c r="C44" s="48" t="s">
        <v>241</v>
      </c>
      <c r="D44" s="49"/>
      <c r="E44" s="49"/>
      <c r="F44" s="13" t="s">
        <v>323</v>
      </c>
      <c r="G44" s="23">
        <f>'Stavební rozpočet'!G44</f>
        <v>2</v>
      </c>
      <c r="H44" s="99">
        <f>'Stavební rozpočet'!H44</f>
        <v>0</v>
      </c>
      <c r="I44" s="99">
        <f t="shared" si="24"/>
        <v>0</v>
      </c>
      <c r="J44" s="99">
        <f t="shared" si="25"/>
        <v>0</v>
      </c>
      <c r="K44" s="99">
        <f t="shared" si="26"/>
        <v>0</v>
      </c>
      <c r="L44" s="100" t="s">
        <v>344</v>
      </c>
      <c r="Z44" s="101">
        <f t="shared" si="27"/>
        <v>0</v>
      </c>
      <c r="AB44" s="101">
        <f t="shared" si="28"/>
        <v>0</v>
      </c>
      <c r="AC44" s="101">
        <f t="shared" si="29"/>
        <v>0</v>
      </c>
      <c r="AD44" s="101">
        <f t="shared" si="30"/>
        <v>0</v>
      </c>
      <c r="AE44" s="101">
        <f t="shared" si="31"/>
        <v>0</v>
      </c>
      <c r="AF44" s="101">
        <f t="shared" si="32"/>
        <v>0</v>
      </c>
      <c r="AG44" s="101">
        <f t="shared" si="33"/>
        <v>0</v>
      </c>
      <c r="AH44" s="101">
        <f t="shared" si="34"/>
        <v>0</v>
      </c>
      <c r="AI44" s="93" t="s">
        <v>357</v>
      </c>
      <c r="AJ44" s="99">
        <f t="shared" si="35"/>
        <v>0</v>
      </c>
      <c r="AK44" s="99">
        <f t="shared" si="36"/>
        <v>0</v>
      </c>
      <c r="AL44" s="99">
        <f t="shared" si="37"/>
        <v>0</v>
      </c>
      <c r="AN44" s="101">
        <v>21</v>
      </c>
      <c r="AO44" s="101">
        <f t="shared" si="38"/>
        <v>0</v>
      </c>
      <c r="AP44" s="101">
        <f t="shared" si="39"/>
        <v>0</v>
      </c>
      <c r="AQ44" s="100" t="s">
        <v>57</v>
      </c>
      <c r="AV44" s="101">
        <f t="shared" si="40"/>
        <v>0</v>
      </c>
      <c r="AW44" s="101">
        <f t="shared" si="41"/>
        <v>0</v>
      </c>
      <c r="AX44" s="101">
        <f t="shared" si="42"/>
        <v>0</v>
      </c>
      <c r="AY44" s="102" t="s">
        <v>366</v>
      </c>
      <c r="AZ44" s="102" t="s">
        <v>373</v>
      </c>
      <c r="BA44" s="93" t="s">
        <v>390</v>
      </c>
      <c r="BC44" s="101">
        <f t="shared" si="43"/>
        <v>0</v>
      </c>
      <c r="BD44" s="101">
        <f t="shared" si="44"/>
        <v>0</v>
      </c>
      <c r="BE44" s="101">
        <v>0</v>
      </c>
      <c r="BF44" s="101">
        <f>44</f>
        <v>44</v>
      </c>
      <c r="BH44" s="99">
        <f t="shared" si="45"/>
        <v>0</v>
      </c>
      <c r="BI44" s="99">
        <f t="shared" si="46"/>
        <v>0</v>
      </c>
      <c r="BJ44" s="99">
        <f t="shared" si="47"/>
        <v>0</v>
      </c>
    </row>
    <row r="45" spans="1:62" ht="12.75">
      <c r="A45" s="13" t="s">
        <v>86</v>
      </c>
      <c r="B45" s="13" t="s">
        <v>173</v>
      </c>
      <c r="C45" s="48" t="s">
        <v>242</v>
      </c>
      <c r="D45" s="49"/>
      <c r="E45" s="49"/>
      <c r="F45" s="13" t="s">
        <v>323</v>
      </c>
      <c r="G45" s="23">
        <f>'Stavební rozpočet'!G45</f>
        <v>1</v>
      </c>
      <c r="H45" s="99">
        <f>'Stavební rozpočet'!H45</f>
        <v>0</v>
      </c>
      <c r="I45" s="99">
        <f t="shared" si="24"/>
        <v>0</v>
      </c>
      <c r="J45" s="99">
        <f t="shared" si="25"/>
        <v>0</v>
      </c>
      <c r="K45" s="99">
        <f t="shared" si="26"/>
        <v>0</v>
      </c>
      <c r="L45" s="100" t="s">
        <v>344</v>
      </c>
      <c r="Z45" s="101">
        <f t="shared" si="27"/>
        <v>0</v>
      </c>
      <c r="AB45" s="101">
        <f t="shared" si="28"/>
        <v>0</v>
      </c>
      <c r="AC45" s="101">
        <f t="shared" si="29"/>
        <v>0</v>
      </c>
      <c r="AD45" s="101">
        <f t="shared" si="30"/>
        <v>0</v>
      </c>
      <c r="AE45" s="101">
        <f t="shared" si="31"/>
        <v>0</v>
      </c>
      <c r="AF45" s="101">
        <f t="shared" si="32"/>
        <v>0</v>
      </c>
      <c r="AG45" s="101">
        <f t="shared" si="33"/>
        <v>0</v>
      </c>
      <c r="AH45" s="101">
        <f t="shared" si="34"/>
        <v>0</v>
      </c>
      <c r="AI45" s="93" t="s">
        <v>357</v>
      </c>
      <c r="AJ45" s="99">
        <f t="shared" si="35"/>
        <v>0</v>
      </c>
      <c r="AK45" s="99">
        <f t="shared" si="36"/>
        <v>0</v>
      </c>
      <c r="AL45" s="99">
        <f t="shared" si="37"/>
        <v>0</v>
      </c>
      <c r="AN45" s="101">
        <v>21</v>
      </c>
      <c r="AO45" s="101">
        <f t="shared" si="38"/>
        <v>0</v>
      </c>
      <c r="AP45" s="101">
        <f t="shared" si="39"/>
        <v>0</v>
      </c>
      <c r="AQ45" s="100" t="s">
        <v>57</v>
      </c>
      <c r="AV45" s="101">
        <f t="shared" si="40"/>
        <v>0</v>
      </c>
      <c r="AW45" s="101">
        <f t="shared" si="41"/>
        <v>0</v>
      </c>
      <c r="AX45" s="101">
        <f t="shared" si="42"/>
        <v>0</v>
      </c>
      <c r="AY45" s="102" t="s">
        <v>366</v>
      </c>
      <c r="AZ45" s="102" t="s">
        <v>373</v>
      </c>
      <c r="BA45" s="93" t="s">
        <v>390</v>
      </c>
      <c r="BC45" s="101">
        <f t="shared" si="43"/>
        <v>0</v>
      </c>
      <c r="BD45" s="101">
        <f t="shared" si="44"/>
        <v>0</v>
      </c>
      <c r="BE45" s="101">
        <v>0</v>
      </c>
      <c r="BF45" s="101">
        <f>45</f>
        <v>45</v>
      </c>
      <c r="BH45" s="99">
        <f t="shared" si="45"/>
        <v>0</v>
      </c>
      <c r="BI45" s="99">
        <f t="shared" si="46"/>
        <v>0</v>
      </c>
      <c r="BJ45" s="99">
        <f t="shared" si="47"/>
        <v>0</v>
      </c>
    </row>
    <row r="46" spans="1:62" ht="12.75">
      <c r="A46" s="13" t="s">
        <v>87</v>
      </c>
      <c r="B46" s="13" t="s">
        <v>174</v>
      </c>
      <c r="C46" s="48" t="s">
        <v>243</v>
      </c>
      <c r="D46" s="49"/>
      <c r="E46" s="49"/>
      <c r="F46" s="13" t="s">
        <v>323</v>
      </c>
      <c r="G46" s="23">
        <f>'Stavební rozpočet'!G46</f>
        <v>14</v>
      </c>
      <c r="H46" s="99">
        <f>'Stavební rozpočet'!H46</f>
        <v>0</v>
      </c>
      <c r="I46" s="99">
        <f t="shared" si="24"/>
        <v>0</v>
      </c>
      <c r="J46" s="99">
        <f t="shared" si="25"/>
        <v>0</v>
      </c>
      <c r="K46" s="99">
        <f t="shared" si="26"/>
        <v>0</v>
      </c>
      <c r="L46" s="100" t="s">
        <v>344</v>
      </c>
      <c r="Z46" s="101">
        <f t="shared" si="27"/>
        <v>0</v>
      </c>
      <c r="AB46" s="101">
        <f t="shared" si="28"/>
        <v>0</v>
      </c>
      <c r="AC46" s="101">
        <f t="shared" si="29"/>
        <v>0</v>
      </c>
      <c r="AD46" s="101">
        <f t="shared" si="30"/>
        <v>0</v>
      </c>
      <c r="AE46" s="101">
        <f t="shared" si="31"/>
        <v>0</v>
      </c>
      <c r="AF46" s="101">
        <f t="shared" si="32"/>
        <v>0</v>
      </c>
      <c r="AG46" s="101">
        <f t="shared" si="33"/>
        <v>0</v>
      </c>
      <c r="AH46" s="101">
        <f t="shared" si="34"/>
        <v>0</v>
      </c>
      <c r="AI46" s="93" t="s">
        <v>357</v>
      </c>
      <c r="AJ46" s="99">
        <f t="shared" si="35"/>
        <v>0</v>
      </c>
      <c r="AK46" s="99">
        <f t="shared" si="36"/>
        <v>0</v>
      </c>
      <c r="AL46" s="99">
        <f t="shared" si="37"/>
        <v>0</v>
      </c>
      <c r="AN46" s="101">
        <v>21</v>
      </c>
      <c r="AO46" s="101">
        <f t="shared" si="38"/>
        <v>0</v>
      </c>
      <c r="AP46" s="101">
        <f t="shared" si="39"/>
        <v>0</v>
      </c>
      <c r="AQ46" s="100" t="s">
        <v>57</v>
      </c>
      <c r="AV46" s="101">
        <f t="shared" si="40"/>
        <v>0</v>
      </c>
      <c r="AW46" s="101">
        <f t="shared" si="41"/>
        <v>0</v>
      </c>
      <c r="AX46" s="101">
        <f t="shared" si="42"/>
        <v>0</v>
      </c>
      <c r="AY46" s="102" t="s">
        <v>366</v>
      </c>
      <c r="AZ46" s="102" t="s">
        <v>373</v>
      </c>
      <c r="BA46" s="93" t="s">
        <v>390</v>
      </c>
      <c r="BC46" s="101">
        <f t="shared" si="43"/>
        <v>0</v>
      </c>
      <c r="BD46" s="101">
        <f t="shared" si="44"/>
        <v>0</v>
      </c>
      <c r="BE46" s="101">
        <v>0</v>
      </c>
      <c r="BF46" s="101">
        <f>46</f>
        <v>46</v>
      </c>
      <c r="BH46" s="99">
        <f t="shared" si="45"/>
        <v>0</v>
      </c>
      <c r="BI46" s="99">
        <f t="shared" si="46"/>
        <v>0</v>
      </c>
      <c r="BJ46" s="99">
        <f t="shared" si="47"/>
        <v>0</v>
      </c>
    </row>
    <row r="47" spans="1:62" ht="12.75">
      <c r="A47" s="13" t="s">
        <v>88</v>
      </c>
      <c r="B47" s="13" t="s">
        <v>175</v>
      </c>
      <c r="C47" s="48" t="s">
        <v>244</v>
      </c>
      <c r="D47" s="49"/>
      <c r="E47" s="49"/>
      <c r="F47" s="13" t="s">
        <v>323</v>
      </c>
      <c r="G47" s="23">
        <f>'Stavební rozpočet'!G47</f>
        <v>8</v>
      </c>
      <c r="H47" s="99">
        <f>'Stavební rozpočet'!H47</f>
        <v>0</v>
      </c>
      <c r="I47" s="99">
        <f t="shared" si="24"/>
        <v>0</v>
      </c>
      <c r="J47" s="99">
        <f t="shared" si="25"/>
        <v>0</v>
      </c>
      <c r="K47" s="99">
        <f t="shared" si="26"/>
        <v>0</v>
      </c>
      <c r="L47" s="100" t="s">
        <v>344</v>
      </c>
      <c r="Z47" s="101">
        <f t="shared" si="27"/>
        <v>0</v>
      </c>
      <c r="AB47" s="101">
        <f t="shared" si="28"/>
        <v>0</v>
      </c>
      <c r="AC47" s="101">
        <f t="shared" si="29"/>
        <v>0</v>
      </c>
      <c r="AD47" s="101">
        <f t="shared" si="30"/>
        <v>0</v>
      </c>
      <c r="AE47" s="101">
        <f t="shared" si="31"/>
        <v>0</v>
      </c>
      <c r="AF47" s="101">
        <f t="shared" si="32"/>
        <v>0</v>
      </c>
      <c r="AG47" s="101">
        <f t="shared" si="33"/>
        <v>0</v>
      </c>
      <c r="AH47" s="101">
        <f t="shared" si="34"/>
        <v>0</v>
      </c>
      <c r="AI47" s="93" t="s">
        <v>357</v>
      </c>
      <c r="AJ47" s="99">
        <f t="shared" si="35"/>
        <v>0</v>
      </c>
      <c r="AK47" s="99">
        <f t="shared" si="36"/>
        <v>0</v>
      </c>
      <c r="AL47" s="99">
        <f t="shared" si="37"/>
        <v>0</v>
      </c>
      <c r="AN47" s="101">
        <v>21</v>
      </c>
      <c r="AO47" s="101">
        <f t="shared" si="38"/>
        <v>0</v>
      </c>
      <c r="AP47" s="101">
        <f t="shared" si="39"/>
        <v>0</v>
      </c>
      <c r="AQ47" s="100" t="s">
        <v>57</v>
      </c>
      <c r="AV47" s="101">
        <f t="shared" si="40"/>
        <v>0</v>
      </c>
      <c r="AW47" s="101">
        <f t="shared" si="41"/>
        <v>0</v>
      </c>
      <c r="AX47" s="101">
        <f t="shared" si="42"/>
        <v>0</v>
      </c>
      <c r="AY47" s="102" t="s">
        <v>366</v>
      </c>
      <c r="AZ47" s="102" t="s">
        <v>373</v>
      </c>
      <c r="BA47" s="93" t="s">
        <v>390</v>
      </c>
      <c r="BC47" s="101">
        <f t="shared" si="43"/>
        <v>0</v>
      </c>
      <c r="BD47" s="101">
        <f t="shared" si="44"/>
        <v>0</v>
      </c>
      <c r="BE47" s="101">
        <v>0</v>
      </c>
      <c r="BF47" s="101">
        <f>47</f>
        <v>47</v>
      </c>
      <c r="BH47" s="99">
        <f t="shared" si="45"/>
        <v>0</v>
      </c>
      <c r="BI47" s="99">
        <f t="shared" si="46"/>
        <v>0</v>
      </c>
      <c r="BJ47" s="99">
        <f t="shared" si="47"/>
        <v>0</v>
      </c>
    </row>
    <row r="48" spans="1:62" ht="12.75">
      <c r="A48" s="13" t="s">
        <v>89</v>
      </c>
      <c r="B48" s="13" t="s">
        <v>176</v>
      </c>
      <c r="C48" s="48" t="s">
        <v>245</v>
      </c>
      <c r="D48" s="49"/>
      <c r="E48" s="49"/>
      <c r="F48" s="13" t="s">
        <v>323</v>
      </c>
      <c r="G48" s="23">
        <f>'Stavební rozpočet'!G48</f>
        <v>5</v>
      </c>
      <c r="H48" s="99">
        <f>'Stavební rozpočet'!H48</f>
        <v>0</v>
      </c>
      <c r="I48" s="99">
        <f t="shared" si="24"/>
        <v>0</v>
      </c>
      <c r="J48" s="99">
        <f t="shared" si="25"/>
        <v>0</v>
      </c>
      <c r="K48" s="99">
        <f t="shared" si="26"/>
        <v>0</v>
      </c>
      <c r="L48" s="100" t="s">
        <v>344</v>
      </c>
      <c r="Z48" s="101">
        <f t="shared" si="27"/>
        <v>0</v>
      </c>
      <c r="AB48" s="101">
        <f t="shared" si="28"/>
        <v>0</v>
      </c>
      <c r="AC48" s="101">
        <f t="shared" si="29"/>
        <v>0</v>
      </c>
      <c r="AD48" s="101">
        <f t="shared" si="30"/>
        <v>0</v>
      </c>
      <c r="AE48" s="101">
        <f t="shared" si="31"/>
        <v>0</v>
      </c>
      <c r="AF48" s="101">
        <f t="shared" si="32"/>
        <v>0</v>
      </c>
      <c r="AG48" s="101">
        <f t="shared" si="33"/>
        <v>0</v>
      </c>
      <c r="AH48" s="101">
        <f t="shared" si="34"/>
        <v>0</v>
      </c>
      <c r="AI48" s="93" t="s">
        <v>357</v>
      </c>
      <c r="AJ48" s="99">
        <f t="shared" si="35"/>
        <v>0</v>
      </c>
      <c r="AK48" s="99">
        <f t="shared" si="36"/>
        <v>0</v>
      </c>
      <c r="AL48" s="99">
        <f t="shared" si="37"/>
        <v>0</v>
      </c>
      <c r="AN48" s="101">
        <v>21</v>
      </c>
      <c r="AO48" s="101">
        <f t="shared" si="38"/>
        <v>0</v>
      </c>
      <c r="AP48" s="101">
        <f t="shared" si="39"/>
        <v>0</v>
      </c>
      <c r="AQ48" s="100" t="s">
        <v>57</v>
      </c>
      <c r="AV48" s="101">
        <f t="shared" si="40"/>
        <v>0</v>
      </c>
      <c r="AW48" s="101">
        <f t="shared" si="41"/>
        <v>0</v>
      </c>
      <c r="AX48" s="101">
        <f t="shared" si="42"/>
        <v>0</v>
      </c>
      <c r="AY48" s="102" t="s">
        <v>366</v>
      </c>
      <c r="AZ48" s="102" t="s">
        <v>373</v>
      </c>
      <c r="BA48" s="93" t="s">
        <v>390</v>
      </c>
      <c r="BC48" s="101">
        <f t="shared" si="43"/>
        <v>0</v>
      </c>
      <c r="BD48" s="101">
        <f t="shared" si="44"/>
        <v>0</v>
      </c>
      <c r="BE48" s="101">
        <v>0</v>
      </c>
      <c r="BF48" s="101">
        <f>48</f>
        <v>48</v>
      </c>
      <c r="BH48" s="99">
        <f t="shared" si="45"/>
        <v>0</v>
      </c>
      <c r="BI48" s="99">
        <f t="shared" si="46"/>
        <v>0</v>
      </c>
      <c r="BJ48" s="99">
        <f t="shared" si="47"/>
        <v>0</v>
      </c>
    </row>
    <row r="49" spans="1:62" ht="12.75">
      <c r="A49" s="13" t="s">
        <v>90</v>
      </c>
      <c r="B49" s="13" t="s">
        <v>177</v>
      </c>
      <c r="C49" s="48" t="s">
        <v>246</v>
      </c>
      <c r="D49" s="49"/>
      <c r="E49" s="49"/>
      <c r="F49" s="13" t="s">
        <v>323</v>
      </c>
      <c r="G49" s="23">
        <f>'Stavební rozpočet'!G49</f>
        <v>2</v>
      </c>
      <c r="H49" s="99">
        <f>'Stavební rozpočet'!H49</f>
        <v>0</v>
      </c>
      <c r="I49" s="99">
        <f t="shared" si="24"/>
        <v>0</v>
      </c>
      <c r="J49" s="99">
        <f t="shared" si="25"/>
        <v>0</v>
      </c>
      <c r="K49" s="99">
        <f t="shared" si="26"/>
        <v>0</v>
      </c>
      <c r="L49" s="100" t="s">
        <v>344</v>
      </c>
      <c r="Z49" s="101">
        <f t="shared" si="27"/>
        <v>0</v>
      </c>
      <c r="AB49" s="101">
        <f t="shared" si="28"/>
        <v>0</v>
      </c>
      <c r="AC49" s="101">
        <f t="shared" si="29"/>
        <v>0</v>
      </c>
      <c r="AD49" s="101">
        <f t="shared" si="30"/>
        <v>0</v>
      </c>
      <c r="AE49" s="101">
        <f t="shared" si="31"/>
        <v>0</v>
      </c>
      <c r="AF49" s="101">
        <f t="shared" si="32"/>
        <v>0</v>
      </c>
      <c r="AG49" s="101">
        <f t="shared" si="33"/>
        <v>0</v>
      </c>
      <c r="AH49" s="101">
        <f t="shared" si="34"/>
        <v>0</v>
      </c>
      <c r="AI49" s="93" t="s">
        <v>357</v>
      </c>
      <c r="AJ49" s="99">
        <f t="shared" si="35"/>
        <v>0</v>
      </c>
      <c r="AK49" s="99">
        <f t="shared" si="36"/>
        <v>0</v>
      </c>
      <c r="AL49" s="99">
        <f t="shared" si="37"/>
        <v>0</v>
      </c>
      <c r="AN49" s="101">
        <v>21</v>
      </c>
      <c r="AO49" s="101">
        <f t="shared" si="38"/>
        <v>0</v>
      </c>
      <c r="AP49" s="101">
        <f t="shared" si="39"/>
        <v>0</v>
      </c>
      <c r="AQ49" s="100" t="s">
        <v>57</v>
      </c>
      <c r="AV49" s="101">
        <f t="shared" si="40"/>
        <v>0</v>
      </c>
      <c r="AW49" s="101">
        <f t="shared" si="41"/>
        <v>0</v>
      </c>
      <c r="AX49" s="101">
        <f t="shared" si="42"/>
        <v>0</v>
      </c>
      <c r="AY49" s="102" t="s">
        <v>366</v>
      </c>
      <c r="AZ49" s="102" t="s">
        <v>373</v>
      </c>
      <c r="BA49" s="93" t="s">
        <v>390</v>
      </c>
      <c r="BC49" s="101">
        <f t="shared" si="43"/>
        <v>0</v>
      </c>
      <c r="BD49" s="101">
        <f t="shared" si="44"/>
        <v>0</v>
      </c>
      <c r="BE49" s="101">
        <v>0</v>
      </c>
      <c r="BF49" s="101">
        <f>49</f>
        <v>49</v>
      </c>
      <c r="BH49" s="99">
        <f t="shared" si="45"/>
        <v>0</v>
      </c>
      <c r="BI49" s="99">
        <f t="shared" si="46"/>
        <v>0</v>
      </c>
      <c r="BJ49" s="99">
        <f t="shared" si="47"/>
        <v>0</v>
      </c>
    </row>
    <row r="50" spans="1:62" ht="12.75">
      <c r="A50" s="13" t="s">
        <v>91</v>
      </c>
      <c r="B50" s="13" t="s">
        <v>178</v>
      </c>
      <c r="C50" s="48" t="s">
        <v>247</v>
      </c>
      <c r="D50" s="49"/>
      <c r="E50" s="49"/>
      <c r="F50" s="13" t="s">
        <v>324</v>
      </c>
      <c r="G50" s="23">
        <f>'Stavební rozpočet'!G50</f>
        <v>106</v>
      </c>
      <c r="H50" s="99">
        <f>'Stavební rozpočet'!H50</f>
        <v>0</v>
      </c>
      <c r="I50" s="99">
        <f t="shared" si="24"/>
        <v>0</v>
      </c>
      <c r="J50" s="99">
        <f t="shared" si="25"/>
        <v>0</v>
      </c>
      <c r="K50" s="99">
        <f t="shared" si="26"/>
        <v>0</v>
      </c>
      <c r="L50" s="100" t="s">
        <v>345</v>
      </c>
      <c r="Z50" s="101">
        <f t="shared" si="27"/>
        <v>0</v>
      </c>
      <c r="AB50" s="101">
        <f t="shared" si="28"/>
        <v>0</v>
      </c>
      <c r="AC50" s="101">
        <f t="shared" si="29"/>
        <v>0</v>
      </c>
      <c r="AD50" s="101">
        <f t="shared" si="30"/>
        <v>0</v>
      </c>
      <c r="AE50" s="101">
        <f t="shared" si="31"/>
        <v>0</v>
      </c>
      <c r="AF50" s="101">
        <f t="shared" si="32"/>
        <v>0</v>
      </c>
      <c r="AG50" s="101">
        <f t="shared" si="33"/>
        <v>0</v>
      </c>
      <c r="AH50" s="101">
        <f t="shared" si="34"/>
        <v>0</v>
      </c>
      <c r="AI50" s="93" t="s">
        <v>357</v>
      </c>
      <c r="AJ50" s="99">
        <f t="shared" si="35"/>
        <v>0</v>
      </c>
      <c r="AK50" s="99">
        <f t="shared" si="36"/>
        <v>0</v>
      </c>
      <c r="AL50" s="99">
        <f t="shared" si="37"/>
        <v>0</v>
      </c>
      <c r="AN50" s="101">
        <v>21</v>
      </c>
      <c r="AO50" s="101">
        <f t="shared" si="38"/>
        <v>0</v>
      </c>
      <c r="AP50" s="101">
        <f t="shared" si="39"/>
        <v>0</v>
      </c>
      <c r="AQ50" s="100" t="s">
        <v>57</v>
      </c>
      <c r="AV50" s="101">
        <f t="shared" si="40"/>
        <v>0</v>
      </c>
      <c r="AW50" s="101">
        <f t="shared" si="41"/>
        <v>0</v>
      </c>
      <c r="AX50" s="101">
        <f t="shared" si="42"/>
        <v>0</v>
      </c>
      <c r="AY50" s="102" t="s">
        <v>366</v>
      </c>
      <c r="AZ50" s="102" t="s">
        <v>373</v>
      </c>
      <c r="BA50" s="93" t="s">
        <v>390</v>
      </c>
      <c r="BC50" s="101">
        <f t="shared" si="43"/>
        <v>0</v>
      </c>
      <c r="BD50" s="101">
        <f t="shared" si="44"/>
        <v>0</v>
      </c>
      <c r="BE50" s="101">
        <v>0</v>
      </c>
      <c r="BF50" s="101">
        <f>50</f>
        <v>50</v>
      </c>
      <c r="BH50" s="99">
        <f t="shared" si="45"/>
        <v>0</v>
      </c>
      <c r="BI50" s="99">
        <f t="shared" si="46"/>
        <v>0</v>
      </c>
      <c r="BJ50" s="99">
        <f t="shared" si="47"/>
        <v>0</v>
      </c>
    </row>
    <row r="51" spans="1:62" ht="12.75">
      <c r="A51" s="13" t="s">
        <v>92</v>
      </c>
      <c r="B51" s="13" t="s">
        <v>179</v>
      </c>
      <c r="C51" s="48" t="s">
        <v>248</v>
      </c>
      <c r="D51" s="49"/>
      <c r="E51" s="49"/>
      <c r="F51" s="13" t="s">
        <v>325</v>
      </c>
      <c r="G51" s="23">
        <f>'Stavební rozpočet'!G51</f>
        <v>30</v>
      </c>
      <c r="H51" s="99">
        <f>'Stavební rozpočet'!H51</f>
        <v>0</v>
      </c>
      <c r="I51" s="99">
        <f t="shared" si="24"/>
        <v>0</v>
      </c>
      <c r="J51" s="99">
        <f t="shared" si="25"/>
        <v>0</v>
      </c>
      <c r="K51" s="99">
        <f t="shared" si="26"/>
        <v>0</v>
      </c>
      <c r="L51" s="100" t="s">
        <v>346</v>
      </c>
      <c r="Z51" s="101">
        <f t="shared" si="27"/>
        <v>0</v>
      </c>
      <c r="AB51" s="101">
        <f t="shared" si="28"/>
        <v>0</v>
      </c>
      <c r="AC51" s="101">
        <f t="shared" si="29"/>
        <v>0</v>
      </c>
      <c r="AD51" s="101">
        <f t="shared" si="30"/>
        <v>0</v>
      </c>
      <c r="AE51" s="101">
        <f t="shared" si="31"/>
        <v>0</v>
      </c>
      <c r="AF51" s="101">
        <f t="shared" si="32"/>
        <v>0</v>
      </c>
      <c r="AG51" s="101">
        <f t="shared" si="33"/>
        <v>0</v>
      </c>
      <c r="AH51" s="101">
        <f t="shared" si="34"/>
        <v>0</v>
      </c>
      <c r="AI51" s="93" t="s">
        <v>357</v>
      </c>
      <c r="AJ51" s="99">
        <f t="shared" si="35"/>
        <v>0</v>
      </c>
      <c r="AK51" s="99">
        <f t="shared" si="36"/>
        <v>0</v>
      </c>
      <c r="AL51" s="99">
        <f t="shared" si="37"/>
        <v>0</v>
      </c>
      <c r="AN51" s="101">
        <v>21</v>
      </c>
      <c r="AO51" s="101">
        <f t="shared" si="38"/>
        <v>0</v>
      </c>
      <c r="AP51" s="101">
        <f t="shared" si="39"/>
        <v>0</v>
      </c>
      <c r="AQ51" s="100" t="s">
        <v>57</v>
      </c>
      <c r="AV51" s="101">
        <f t="shared" si="40"/>
        <v>0</v>
      </c>
      <c r="AW51" s="101">
        <f t="shared" si="41"/>
        <v>0</v>
      </c>
      <c r="AX51" s="101">
        <f t="shared" si="42"/>
        <v>0</v>
      </c>
      <c r="AY51" s="102" t="s">
        <v>366</v>
      </c>
      <c r="AZ51" s="102" t="s">
        <v>373</v>
      </c>
      <c r="BA51" s="93" t="s">
        <v>390</v>
      </c>
      <c r="BC51" s="101">
        <f t="shared" si="43"/>
        <v>0</v>
      </c>
      <c r="BD51" s="101">
        <f t="shared" si="44"/>
        <v>0</v>
      </c>
      <c r="BE51" s="101">
        <v>0</v>
      </c>
      <c r="BF51" s="101">
        <f>51</f>
        <v>51</v>
      </c>
      <c r="BH51" s="99">
        <f t="shared" si="45"/>
        <v>0</v>
      </c>
      <c r="BI51" s="99">
        <f t="shared" si="46"/>
        <v>0</v>
      </c>
      <c r="BJ51" s="99">
        <f t="shared" si="47"/>
        <v>0</v>
      </c>
    </row>
    <row r="52" spans="1:12" ht="12.75">
      <c r="A52" s="14"/>
      <c r="B52" s="21"/>
      <c r="C52" s="50" t="s">
        <v>252</v>
      </c>
      <c r="D52" s="51"/>
      <c r="E52" s="51"/>
      <c r="F52" s="14" t="s">
        <v>56</v>
      </c>
      <c r="G52" s="14" t="s">
        <v>56</v>
      </c>
      <c r="H52" s="103" t="s">
        <v>56</v>
      </c>
      <c r="I52" s="104">
        <f>I53</f>
        <v>0</v>
      </c>
      <c r="J52" s="104">
        <f>J53</f>
        <v>0</v>
      </c>
      <c r="K52" s="104">
        <f>K53</f>
        <v>0</v>
      </c>
      <c r="L52" s="105"/>
    </row>
    <row r="53" spans="1:47" ht="12.75">
      <c r="A53" s="12"/>
      <c r="B53" s="20" t="s">
        <v>67</v>
      </c>
      <c r="C53" s="46" t="s">
        <v>231</v>
      </c>
      <c r="D53" s="47"/>
      <c r="E53" s="47"/>
      <c r="F53" s="12" t="s">
        <v>56</v>
      </c>
      <c r="G53" s="12" t="s">
        <v>56</v>
      </c>
      <c r="H53" s="97" t="s">
        <v>56</v>
      </c>
      <c r="I53" s="98">
        <f>SUM(I54:I55)</f>
        <v>0</v>
      </c>
      <c r="J53" s="98">
        <f>SUM(J54:J55)</f>
        <v>0</v>
      </c>
      <c r="K53" s="98">
        <f>SUM(K54:K55)</f>
        <v>0</v>
      </c>
      <c r="L53" s="93"/>
      <c r="AI53" s="93" t="s">
        <v>358</v>
      </c>
      <c r="AS53" s="98">
        <f>SUM(AJ54:AJ55)</f>
        <v>0</v>
      </c>
      <c r="AT53" s="98">
        <f>SUM(AK54:AK55)</f>
        <v>0</v>
      </c>
      <c r="AU53" s="98">
        <f>SUM(AL54:AL55)</f>
        <v>0</v>
      </c>
    </row>
    <row r="54" spans="1:62" ht="12.75">
      <c r="A54" s="13" t="s">
        <v>93</v>
      </c>
      <c r="B54" s="13" t="s">
        <v>182</v>
      </c>
      <c r="C54" s="48" t="s">
        <v>253</v>
      </c>
      <c r="D54" s="49"/>
      <c r="E54" s="49"/>
      <c r="F54" s="13" t="s">
        <v>325</v>
      </c>
      <c r="G54" s="23">
        <f>'Stavební rozpočet'!G54</f>
        <v>70833</v>
      </c>
      <c r="H54" s="99">
        <f>'Stavební rozpočet'!H54</f>
        <v>0</v>
      </c>
      <c r="I54" s="99">
        <f>G54*AO54</f>
        <v>0</v>
      </c>
      <c r="J54" s="99">
        <f>G54*AP54</f>
        <v>0</v>
      </c>
      <c r="K54" s="99">
        <f>G54*H54</f>
        <v>0</v>
      </c>
      <c r="L54" s="100" t="s">
        <v>346</v>
      </c>
      <c r="Z54" s="101">
        <f>IF(AQ54="5",BJ54,0)</f>
        <v>0</v>
      </c>
      <c r="AB54" s="101">
        <f>IF(AQ54="1",BH54,0)</f>
        <v>0</v>
      </c>
      <c r="AC54" s="101">
        <f>IF(AQ54="1",BI54,0)</f>
        <v>0</v>
      </c>
      <c r="AD54" s="101">
        <f>IF(AQ54="7",BH54,0)</f>
        <v>0</v>
      </c>
      <c r="AE54" s="101">
        <f>IF(AQ54="7",BI54,0)</f>
        <v>0</v>
      </c>
      <c r="AF54" s="101">
        <f>IF(AQ54="2",BH54,0)</f>
        <v>0</v>
      </c>
      <c r="AG54" s="101">
        <f>IF(AQ54="2",BI54,0)</f>
        <v>0</v>
      </c>
      <c r="AH54" s="101">
        <f>IF(AQ54="0",BJ54,0)</f>
        <v>0</v>
      </c>
      <c r="AI54" s="93" t="s">
        <v>358</v>
      </c>
      <c r="AJ54" s="99">
        <f>IF(AN54=0,K54,0)</f>
        <v>0</v>
      </c>
      <c r="AK54" s="99">
        <f>IF(AN54=15,K54,0)</f>
        <v>0</v>
      </c>
      <c r="AL54" s="99">
        <f>IF(AN54=21,K54,0)</f>
        <v>0</v>
      </c>
      <c r="AN54" s="101">
        <v>21</v>
      </c>
      <c r="AO54" s="101">
        <f>H54*0</f>
        <v>0</v>
      </c>
      <c r="AP54" s="101">
        <f>H54*(1-0)</f>
        <v>0</v>
      </c>
      <c r="AQ54" s="100" t="s">
        <v>57</v>
      </c>
      <c r="AV54" s="101">
        <f>AW54+AX54</f>
        <v>0</v>
      </c>
      <c r="AW54" s="101">
        <f>G54*AO54</f>
        <v>0</v>
      </c>
      <c r="AX54" s="101">
        <f>G54*AP54</f>
        <v>0</v>
      </c>
      <c r="AY54" s="102" t="s">
        <v>366</v>
      </c>
      <c r="AZ54" s="102" t="s">
        <v>374</v>
      </c>
      <c r="BA54" s="93" t="s">
        <v>391</v>
      </c>
      <c r="BC54" s="101">
        <f>AW54+AX54</f>
        <v>0</v>
      </c>
      <c r="BD54" s="101">
        <f>H54/(100-BE54)*100</f>
        <v>0</v>
      </c>
      <c r="BE54" s="101">
        <v>0</v>
      </c>
      <c r="BF54" s="101">
        <f>54</f>
        <v>54</v>
      </c>
      <c r="BH54" s="99">
        <f>G54*AO54</f>
        <v>0</v>
      </c>
      <c r="BI54" s="99">
        <f>G54*AP54</f>
        <v>0</v>
      </c>
      <c r="BJ54" s="99">
        <f>G54*H54</f>
        <v>0</v>
      </c>
    </row>
    <row r="55" spans="1:62" ht="12.75">
      <c r="A55" s="13" t="s">
        <v>94</v>
      </c>
      <c r="B55" s="13" t="s">
        <v>178</v>
      </c>
      <c r="C55" s="48" t="s">
        <v>254</v>
      </c>
      <c r="D55" s="49"/>
      <c r="E55" s="49"/>
      <c r="F55" s="13" t="s">
        <v>324</v>
      </c>
      <c r="G55" s="23">
        <f>'Stavební rozpočet'!G55</f>
        <v>223</v>
      </c>
      <c r="H55" s="99">
        <f>'Stavební rozpočet'!H55</f>
        <v>0</v>
      </c>
      <c r="I55" s="99">
        <f>G55*AO55</f>
        <v>0</v>
      </c>
      <c r="J55" s="99">
        <f>G55*AP55</f>
        <v>0</v>
      </c>
      <c r="K55" s="99">
        <f>G55*H55</f>
        <v>0</v>
      </c>
      <c r="L55" s="100" t="s">
        <v>345</v>
      </c>
      <c r="Z55" s="101">
        <f>IF(AQ55="5",BJ55,0)</f>
        <v>0</v>
      </c>
      <c r="AB55" s="101">
        <f>IF(AQ55="1",BH55,0)</f>
        <v>0</v>
      </c>
      <c r="AC55" s="101">
        <f>IF(AQ55="1",BI55,0)</f>
        <v>0</v>
      </c>
      <c r="AD55" s="101">
        <f>IF(AQ55="7",BH55,0)</f>
        <v>0</v>
      </c>
      <c r="AE55" s="101">
        <f>IF(AQ55="7",BI55,0)</f>
        <v>0</v>
      </c>
      <c r="AF55" s="101">
        <f>IF(AQ55="2",BH55,0)</f>
        <v>0</v>
      </c>
      <c r="AG55" s="101">
        <f>IF(AQ55="2",BI55,0)</f>
        <v>0</v>
      </c>
      <c r="AH55" s="101">
        <f>IF(AQ55="0",BJ55,0)</f>
        <v>0</v>
      </c>
      <c r="AI55" s="93" t="s">
        <v>358</v>
      </c>
      <c r="AJ55" s="99">
        <f>IF(AN55=0,K55,0)</f>
        <v>0</v>
      </c>
      <c r="AK55" s="99">
        <f>IF(AN55=15,K55,0)</f>
        <v>0</v>
      </c>
      <c r="AL55" s="99">
        <f>IF(AN55=21,K55,0)</f>
        <v>0</v>
      </c>
      <c r="AN55" s="101">
        <v>21</v>
      </c>
      <c r="AO55" s="101">
        <f>H55*0</f>
        <v>0</v>
      </c>
      <c r="AP55" s="101">
        <f>H55*(1-0)</f>
        <v>0</v>
      </c>
      <c r="AQ55" s="100" t="s">
        <v>57</v>
      </c>
      <c r="AV55" s="101">
        <f>AW55+AX55</f>
        <v>0</v>
      </c>
      <c r="AW55" s="101">
        <f>G55*AO55</f>
        <v>0</v>
      </c>
      <c r="AX55" s="101">
        <f>G55*AP55</f>
        <v>0</v>
      </c>
      <c r="AY55" s="102" t="s">
        <v>366</v>
      </c>
      <c r="AZ55" s="102" t="s">
        <v>374</v>
      </c>
      <c r="BA55" s="93" t="s">
        <v>391</v>
      </c>
      <c r="BC55" s="101">
        <f>AW55+AX55</f>
        <v>0</v>
      </c>
      <c r="BD55" s="101">
        <f>H55/(100-BE55)*100</f>
        <v>0</v>
      </c>
      <c r="BE55" s="101">
        <v>0</v>
      </c>
      <c r="BF55" s="101">
        <f>55</f>
        <v>55</v>
      </c>
      <c r="BH55" s="99">
        <f>G55*AO55</f>
        <v>0</v>
      </c>
      <c r="BI55" s="99">
        <f>G55*AP55</f>
        <v>0</v>
      </c>
      <c r="BJ55" s="99">
        <f>G55*H55</f>
        <v>0</v>
      </c>
    </row>
    <row r="56" spans="1:12" ht="12.75">
      <c r="A56" s="14"/>
      <c r="B56" s="21"/>
      <c r="C56" s="50" t="s">
        <v>255</v>
      </c>
      <c r="D56" s="51"/>
      <c r="E56" s="51"/>
      <c r="F56" s="14" t="s">
        <v>56</v>
      </c>
      <c r="G56" s="14" t="s">
        <v>56</v>
      </c>
      <c r="H56" s="103" t="s">
        <v>56</v>
      </c>
      <c r="I56" s="104">
        <f>I57</f>
        <v>0</v>
      </c>
      <c r="J56" s="104">
        <f>J57</f>
        <v>0</v>
      </c>
      <c r="K56" s="104">
        <f>K57</f>
        <v>0</v>
      </c>
      <c r="L56" s="105"/>
    </row>
    <row r="57" spans="1:47" ht="12.75">
      <c r="A57" s="12"/>
      <c r="B57" s="20" t="s">
        <v>67</v>
      </c>
      <c r="C57" s="46" t="s">
        <v>231</v>
      </c>
      <c r="D57" s="47"/>
      <c r="E57" s="47"/>
      <c r="F57" s="12" t="s">
        <v>56</v>
      </c>
      <c r="G57" s="12" t="s">
        <v>56</v>
      </c>
      <c r="H57" s="97" t="s">
        <v>56</v>
      </c>
      <c r="I57" s="98">
        <f>SUM(I58:I59)</f>
        <v>0</v>
      </c>
      <c r="J57" s="98">
        <f>SUM(J58:J59)</f>
        <v>0</v>
      </c>
      <c r="K57" s="98">
        <f>SUM(K58:K59)</f>
        <v>0</v>
      </c>
      <c r="L57" s="93"/>
      <c r="AI57" s="93" t="s">
        <v>359</v>
      </c>
      <c r="AS57" s="98">
        <f>SUM(AJ58:AJ59)</f>
        <v>0</v>
      </c>
      <c r="AT57" s="98">
        <f>SUM(AK58:AK59)</f>
        <v>0</v>
      </c>
      <c r="AU57" s="98">
        <f>SUM(AL58:AL59)</f>
        <v>0</v>
      </c>
    </row>
    <row r="58" spans="1:62" ht="12.75">
      <c r="A58" s="13" t="s">
        <v>95</v>
      </c>
      <c r="B58" s="13" t="s">
        <v>182</v>
      </c>
      <c r="C58" s="48" t="s">
        <v>253</v>
      </c>
      <c r="D58" s="49"/>
      <c r="E58" s="49"/>
      <c r="F58" s="13" t="s">
        <v>325</v>
      </c>
      <c r="G58" s="23">
        <f>'Stavební rozpočet'!G58</f>
        <v>5693</v>
      </c>
      <c r="H58" s="99">
        <f>'Stavební rozpočet'!H58</f>
        <v>0</v>
      </c>
      <c r="I58" s="99">
        <f>G58*AO58</f>
        <v>0</v>
      </c>
      <c r="J58" s="99">
        <f>G58*AP58</f>
        <v>0</v>
      </c>
      <c r="K58" s="99">
        <f>G58*H58</f>
        <v>0</v>
      </c>
      <c r="L58" s="100" t="s">
        <v>346</v>
      </c>
      <c r="Z58" s="101">
        <f>IF(AQ58="5",BJ58,0)</f>
        <v>0</v>
      </c>
      <c r="AB58" s="101">
        <f>IF(AQ58="1",BH58,0)</f>
        <v>0</v>
      </c>
      <c r="AC58" s="101">
        <f>IF(AQ58="1",BI58,0)</f>
        <v>0</v>
      </c>
      <c r="AD58" s="101">
        <f>IF(AQ58="7",BH58,0)</f>
        <v>0</v>
      </c>
      <c r="AE58" s="101">
        <f>IF(AQ58="7",BI58,0)</f>
        <v>0</v>
      </c>
      <c r="AF58" s="101">
        <f>IF(AQ58="2",BH58,0)</f>
        <v>0</v>
      </c>
      <c r="AG58" s="101">
        <f>IF(AQ58="2",BI58,0)</f>
        <v>0</v>
      </c>
      <c r="AH58" s="101">
        <f>IF(AQ58="0",BJ58,0)</f>
        <v>0</v>
      </c>
      <c r="AI58" s="93" t="s">
        <v>359</v>
      </c>
      <c r="AJ58" s="99">
        <f>IF(AN58=0,K58,0)</f>
        <v>0</v>
      </c>
      <c r="AK58" s="99">
        <f>IF(AN58=15,K58,0)</f>
        <v>0</v>
      </c>
      <c r="AL58" s="99">
        <f>IF(AN58=21,K58,0)</f>
        <v>0</v>
      </c>
      <c r="AN58" s="101">
        <v>21</v>
      </c>
      <c r="AO58" s="101">
        <f>H58*0</f>
        <v>0</v>
      </c>
      <c r="AP58" s="101">
        <f>H58*(1-0)</f>
        <v>0</v>
      </c>
      <c r="AQ58" s="100" t="s">
        <v>57</v>
      </c>
      <c r="AV58" s="101">
        <f>AW58+AX58</f>
        <v>0</v>
      </c>
      <c r="AW58" s="101">
        <f>G58*AO58</f>
        <v>0</v>
      </c>
      <c r="AX58" s="101">
        <f>G58*AP58</f>
        <v>0</v>
      </c>
      <c r="AY58" s="102" t="s">
        <v>366</v>
      </c>
      <c r="AZ58" s="102" t="s">
        <v>375</v>
      </c>
      <c r="BA58" s="93" t="s">
        <v>392</v>
      </c>
      <c r="BC58" s="101">
        <f>AW58+AX58</f>
        <v>0</v>
      </c>
      <c r="BD58" s="101">
        <f>H58/(100-BE58)*100</f>
        <v>0</v>
      </c>
      <c r="BE58" s="101">
        <v>0</v>
      </c>
      <c r="BF58" s="101">
        <f>58</f>
        <v>58</v>
      </c>
      <c r="BH58" s="99">
        <f>G58*AO58</f>
        <v>0</v>
      </c>
      <c r="BI58" s="99">
        <f>G58*AP58</f>
        <v>0</v>
      </c>
      <c r="BJ58" s="99">
        <f>G58*H58</f>
        <v>0</v>
      </c>
    </row>
    <row r="59" spans="1:62" ht="12.75">
      <c r="A59" s="13" t="s">
        <v>96</v>
      </c>
      <c r="B59" s="13" t="s">
        <v>178</v>
      </c>
      <c r="C59" s="48" t="s">
        <v>256</v>
      </c>
      <c r="D59" s="49"/>
      <c r="E59" s="49"/>
      <c r="F59" s="13" t="s">
        <v>324</v>
      </c>
      <c r="G59" s="23">
        <f>'Stavební rozpočet'!G59</f>
        <v>18</v>
      </c>
      <c r="H59" s="99">
        <f>'Stavební rozpočet'!H59</f>
        <v>0</v>
      </c>
      <c r="I59" s="99">
        <f>G59*AO59</f>
        <v>0</v>
      </c>
      <c r="J59" s="99">
        <f>G59*AP59</f>
        <v>0</v>
      </c>
      <c r="K59" s="99">
        <f>G59*H59</f>
        <v>0</v>
      </c>
      <c r="L59" s="100" t="s">
        <v>345</v>
      </c>
      <c r="Z59" s="101">
        <f>IF(AQ59="5",BJ59,0)</f>
        <v>0</v>
      </c>
      <c r="AB59" s="101">
        <f>IF(AQ59="1",BH59,0)</f>
        <v>0</v>
      </c>
      <c r="AC59" s="101">
        <f>IF(AQ59="1",BI59,0)</f>
        <v>0</v>
      </c>
      <c r="AD59" s="101">
        <f>IF(AQ59="7",BH59,0)</f>
        <v>0</v>
      </c>
      <c r="AE59" s="101">
        <f>IF(AQ59="7",BI59,0)</f>
        <v>0</v>
      </c>
      <c r="AF59" s="101">
        <f>IF(AQ59="2",BH59,0)</f>
        <v>0</v>
      </c>
      <c r="AG59" s="101">
        <f>IF(AQ59="2",BI59,0)</f>
        <v>0</v>
      </c>
      <c r="AH59" s="101">
        <f>IF(AQ59="0",BJ59,0)</f>
        <v>0</v>
      </c>
      <c r="AI59" s="93" t="s">
        <v>359</v>
      </c>
      <c r="AJ59" s="99">
        <f>IF(AN59=0,K59,0)</f>
        <v>0</v>
      </c>
      <c r="AK59" s="99">
        <f>IF(AN59=15,K59,0)</f>
        <v>0</v>
      </c>
      <c r="AL59" s="99">
        <f>IF(AN59=21,K59,0)</f>
        <v>0</v>
      </c>
      <c r="AN59" s="101">
        <v>21</v>
      </c>
      <c r="AO59" s="101">
        <f>H59*0</f>
        <v>0</v>
      </c>
      <c r="AP59" s="101">
        <f>H59*(1-0)</f>
        <v>0</v>
      </c>
      <c r="AQ59" s="100" t="s">
        <v>57</v>
      </c>
      <c r="AV59" s="101">
        <f>AW59+AX59</f>
        <v>0</v>
      </c>
      <c r="AW59" s="101">
        <f>G59*AO59</f>
        <v>0</v>
      </c>
      <c r="AX59" s="101">
        <f>G59*AP59</f>
        <v>0</v>
      </c>
      <c r="AY59" s="102" t="s">
        <v>366</v>
      </c>
      <c r="AZ59" s="102" t="s">
        <v>375</v>
      </c>
      <c r="BA59" s="93" t="s">
        <v>392</v>
      </c>
      <c r="BC59" s="101">
        <f>AW59+AX59</f>
        <v>0</v>
      </c>
      <c r="BD59" s="101">
        <f>H59/(100-BE59)*100</f>
        <v>0</v>
      </c>
      <c r="BE59" s="101">
        <v>0</v>
      </c>
      <c r="BF59" s="101">
        <f>59</f>
        <v>59</v>
      </c>
      <c r="BH59" s="99">
        <f>G59*AO59</f>
        <v>0</v>
      </c>
      <c r="BI59" s="99">
        <f>G59*AP59</f>
        <v>0</v>
      </c>
      <c r="BJ59" s="99">
        <f>G59*H59</f>
        <v>0</v>
      </c>
    </row>
    <row r="60" spans="1:12" ht="12.75">
      <c r="A60" s="14"/>
      <c r="B60" s="21"/>
      <c r="C60" s="50" t="s">
        <v>257</v>
      </c>
      <c r="D60" s="51"/>
      <c r="E60" s="51"/>
      <c r="F60" s="14" t="s">
        <v>56</v>
      </c>
      <c r="G60" s="14" t="s">
        <v>56</v>
      </c>
      <c r="H60" s="103" t="s">
        <v>56</v>
      </c>
      <c r="I60" s="104">
        <f>I61</f>
        <v>0</v>
      </c>
      <c r="J60" s="104">
        <f>J61</f>
        <v>0</v>
      </c>
      <c r="K60" s="104">
        <f>K61</f>
        <v>0</v>
      </c>
      <c r="L60" s="105"/>
    </row>
    <row r="61" spans="1:47" ht="12.75">
      <c r="A61" s="12"/>
      <c r="B61" s="20" t="s">
        <v>183</v>
      </c>
      <c r="C61" s="46" t="s">
        <v>258</v>
      </c>
      <c r="D61" s="47"/>
      <c r="E61" s="47"/>
      <c r="F61" s="12" t="s">
        <v>56</v>
      </c>
      <c r="G61" s="12" t="s">
        <v>56</v>
      </c>
      <c r="H61" s="97" t="s">
        <v>56</v>
      </c>
      <c r="I61" s="98">
        <f>SUM(I62:I76)</f>
        <v>0</v>
      </c>
      <c r="J61" s="98">
        <f>SUM(J62:J76)</f>
        <v>0</v>
      </c>
      <c r="K61" s="98">
        <f>SUM(K62:K76)</f>
        <v>0</v>
      </c>
      <c r="L61" s="93"/>
      <c r="AI61" s="93" t="s">
        <v>360</v>
      </c>
      <c r="AS61" s="98">
        <f>SUM(AJ62:AJ76)</f>
        <v>0</v>
      </c>
      <c r="AT61" s="98">
        <f>SUM(AK62:AK76)</f>
        <v>0</v>
      </c>
      <c r="AU61" s="98">
        <f>SUM(AL62:AL76)</f>
        <v>0</v>
      </c>
    </row>
    <row r="62" spans="1:62" ht="12.75">
      <c r="A62" s="13" t="s">
        <v>97</v>
      </c>
      <c r="B62" s="13" t="s">
        <v>184</v>
      </c>
      <c r="C62" s="48" t="s">
        <v>259</v>
      </c>
      <c r="D62" s="49"/>
      <c r="E62" s="49"/>
      <c r="F62" s="13" t="s">
        <v>323</v>
      </c>
      <c r="G62" s="23">
        <f>'Stavební rozpočet'!G62</f>
        <v>23</v>
      </c>
      <c r="H62" s="99">
        <f>'Stavební rozpočet'!H62</f>
        <v>0</v>
      </c>
      <c r="I62" s="99">
        <f aca="true" t="shared" si="48" ref="I62:I76">G62*AO62</f>
        <v>0</v>
      </c>
      <c r="J62" s="99">
        <f aca="true" t="shared" si="49" ref="J62:J76">G62*AP62</f>
        <v>0</v>
      </c>
      <c r="K62" s="99">
        <f aca="true" t="shared" si="50" ref="K62:K76">G62*H62</f>
        <v>0</v>
      </c>
      <c r="L62" s="100"/>
      <c r="Z62" s="101">
        <f aca="true" t="shared" si="51" ref="Z62:Z76">IF(AQ62="5",BJ62,0)</f>
        <v>0</v>
      </c>
      <c r="AB62" s="101">
        <f aca="true" t="shared" si="52" ref="AB62:AB76">IF(AQ62="1",BH62,0)</f>
        <v>0</v>
      </c>
      <c r="AC62" s="101">
        <f aca="true" t="shared" si="53" ref="AC62:AC76">IF(AQ62="1",BI62,0)</f>
        <v>0</v>
      </c>
      <c r="AD62" s="101">
        <f aca="true" t="shared" si="54" ref="AD62:AD76">IF(AQ62="7",BH62,0)</f>
        <v>0</v>
      </c>
      <c r="AE62" s="101">
        <f aca="true" t="shared" si="55" ref="AE62:AE76">IF(AQ62="7",BI62,0)</f>
        <v>0</v>
      </c>
      <c r="AF62" s="101">
        <f aca="true" t="shared" si="56" ref="AF62:AF76">IF(AQ62="2",BH62,0)</f>
        <v>0</v>
      </c>
      <c r="AG62" s="101">
        <f aca="true" t="shared" si="57" ref="AG62:AG76">IF(AQ62="2",BI62,0)</f>
        <v>0</v>
      </c>
      <c r="AH62" s="101">
        <f aca="true" t="shared" si="58" ref="AH62:AH76">IF(AQ62="0",BJ62,0)</f>
        <v>0</v>
      </c>
      <c r="AI62" s="93" t="s">
        <v>360</v>
      </c>
      <c r="AJ62" s="99">
        <f aca="true" t="shared" si="59" ref="AJ62:AJ76">IF(AN62=0,K62,0)</f>
        <v>0</v>
      </c>
      <c r="AK62" s="99">
        <f aca="true" t="shared" si="60" ref="AK62:AK76">IF(AN62=15,K62,0)</f>
        <v>0</v>
      </c>
      <c r="AL62" s="99">
        <f aca="true" t="shared" si="61" ref="AL62:AL76">IF(AN62=21,K62,0)</f>
        <v>0</v>
      </c>
      <c r="AN62" s="101">
        <v>21</v>
      </c>
      <c r="AO62" s="101">
        <f aca="true" t="shared" si="62" ref="AO62:AO76">H62*0</f>
        <v>0</v>
      </c>
      <c r="AP62" s="101">
        <f aca="true" t="shared" si="63" ref="AP62:AP76">H62*(1-0)</f>
        <v>0</v>
      </c>
      <c r="AQ62" s="100" t="s">
        <v>57</v>
      </c>
      <c r="AV62" s="101">
        <f aca="true" t="shared" si="64" ref="AV62:AV76">AW62+AX62</f>
        <v>0</v>
      </c>
      <c r="AW62" s="101">
        <f aca="true" t="shared" si="65" ref="AW62:AW76">G62*AO62</f>
        <v>0</v>
      </c>
      <c r="AX62" s="101">
        <f aca="true" t="shared" si="66" ref="AX62:AX76">G62*AP62</f>
        <v>0</v>
      </c>
      <c r="AY62" s="102" t="s">
        <v>367</v>
      </c>
      <c r="AZ62" s="102" t="s">
        <v>376</v>
      </c>
      <c r="BA62" s="93" t="s">
        <v>393</v>
      </c>
      <c r="BC62" s="101">
        <f aca="true" t="shared" si="67" ref="BC62:BC76">AW62+AX62</f>
        <v>0</v>
      </c>
      <c r="BD62" s="101">
        <f aca="true" t="shared" si="68" ref="BD62:BD76">H62/(100-BE62)*100</f>
        <v>0</v>
      </c>
      <c r="BE62" s="101">
        <v>0</v>
      </c>
      <c r="BF62" s="101">
        <f>62</f>
        <v>62</v>
      </c>
      <c r="BH62" s="99">
        <f aca="true" t="shared" si="69" ref="BH62:BH76">G62*AO62</f>
        <v>0</v>
      </c>
      <c r="BI62" s="99">
        <f aca="true" t="shared" si="70" ref="BI62:BI76">G62*AP62</f>
        <v>0</v>
      </c>
      <c r="BJ62" s="99">
        <f aca="true" t="shared" si="71" ref="BJ62:BJ76">G62*H62</f>
        <v>0</v>
      </c>
    </row>
    <row r="63" spans="1:62" ht="12.75">
      <c r="A63" s="13" t="s">
        <v>98</v>
      </c>
      <c r="B63" s="13" t="s">
        <v>185</v>
      </c>
      <c r="C63" s="48" t="s">
        <v>260</v>
      </c>
      <c r="D63" s="49"/>
      <c r="E63" s="49"/>
      <c r="F63" s="13" t="s">
        <v>323</v>
      </c>
      <c r="G63" s="23">
        <f>'Stavební rozpočet'!G63</f>
        <v>15</v>
      </c>
      <c r="H63" s="99">
        <f>'Stavební rozpočet'!H63</f>
        <v>0</v>
      </c>
      <c r="I63" s="99">
        <f t="shared" si="48"/>
        <v>0</v>
      </c>
      <c r="J63" s="99">
        <f t="shared" si="49"/>
        <v>0</v>
      </c>
      <c r="K63" s="99">
        <f t="shared" si="50"/>
        <v>0</v>
      </c>
      <c r="L63" s="100"/>
      <c r="Z63" s="101">
        <f t="shared" si="51"/>
        <v>0</v>
      </c>
      <c r="AB63" s="101">
        <f t="shared" si="52"/>
        <v>0</v>
      </c>
      <c r="AC63" s="101">
        <f t="shared" si="53"/>
        <v>0</v>
      </c>
      <c r="AD63" s="101">
        <f t="shared" si="54"/>
        <v>0</v>
      </c>
      <c r="AE63" s="101">
        <f t="shared" si="55"/>
        <v>0</v>
      </c>
      <c r="AF63" s="101">
        <f t="shared" si="56"/>
        <v>0</v>
      </c>
      <c r="AG63" s="101">
        <f t="shared" si="57"/>
        <v>0</v>
      </c>
      <c r="AH63" s="101">
        <f t="shared" si="58"/>
        <v>0</v>
      </c>
      <c r="AI63" s="93" t="s">
        <v>360</v>
      </c>
      <c r="AJ63" s="99">
        <f t="shared" si="59"/>
        <v>0</v>
      </c>
      <c r="AK63" s="99">
        <f t="shared" si="60"/>
        <v>0</v>
      </c>
      <c r="AL63" s="99">
        <f t="shared" si="61"/>
        <v>0</v>
      </c>
      <c r="AN63" s="101">
        <v>21</v>
      </c>
      <c r="AO63" s="101">
        <f t="shared" si="62"/>
        <v>0</v>
      </c>
      <c r="AP63" s="101">
        <f t="shared" si="63"/>
        <v>0</v>
      </c>
      <c r="AQ63" s="100" t="s">
        <v>57</v>
      </c>
      <c r="AV63" s="101">
        <f t="shared" si="64"/>
        <v>0</v>
      </c>
      <c r="AW63" s="101">
        <f t="shared" si="65"/>
        <v>0</v>
      </c>
      <c r="AX63" s="101">
        <f t="shared" si="66"/>
        <v>0</v>
      </c>
      <c r="AY63" s="102" t="s">
        <v>367</v>
      </c>
      <c r="AZ63" s="102" t="s">
        <v>376</v>
      </c>
      <c r="BA63" s="93" t="s">
        <v>393</v>
      </c>
      <c r="BC63" s="101">
        <f t="shared" si="67"/>
        <v>0</v>
      </c>
      <c r="BD63" s="101">
        <f t="shared" si="68"/>
        <v>0</v>
      </c>
      <c r="BE63" s="101">
        <v>0</v>
      </c>
      <c r="BF63" s="101">
        <f>63</f>
        <v>63</v>
      </c>
      <c r="BH63" s="99">
        <f t="shared" si="69"/>
        <v>0</v>
      </c>
      <c r="BI63" s="99">
        <f t="shared" si="70"/>
        <v>0</v>
      </c>
      <c r="BJ63" s="99">
        <f t="shared" si="71"/>
        <v>0</v>
      </c>
    </row>
    <row r="64" spans="1:62" ht="12.75">
      <c r="A64" s="13" t="s">
        <v>99</v>
      </c>
      <c r="B64" s="13" t="s">
        <v>186</v>
      </c>
      <c r="C64" s="48" t="s">
        <v>261</v>
      </c>
      <c r="D64" s="49"/>
      <c r="E64" s="49"/>
      <c r="F64" s="13" t="s">
        <v>323</v>
      </c>
      <c r="G64" s="23">
        <f>'Stavební rozpočet'!G64</f>
        <v>29</v>
      </c>
      <c r="H64" s="99">
        <f>'Stavební rozpočet'!H64</f>
        <v>0</v>
      </c>
      <c r="I64" s="99">
        <f t="shared" si="48"/>
        <v>0</v>
      </c>
      <c r="J64" s="99">
        <f t="shared" si="49"/>
        <v>0</v>
      </c>
      <c r="K64" s="99">
        <f t="shared" si="50"/>
        <v>0</v>
      </c>
      <c r="L64" s="100"/>
      <c r="Z64" s="101">
        <f t="shared" si="51"/>
        <v>0</v>
      </c>
      <c r="AB64" s="101">
        <f t="shared" si="52"/>
        <v>0</v>
      </c>
      <c r="AC64" s="101">
        <f t="shared" si="53"/>
        <v>0</v>
      </c>
      <c r="AD64" s="101">
        <f t="shared" si="54"/>
        <v>0</v>
      </c>
      <c r="AE64" s="101">
        <f t="shared" si="55"/>
        <v>0</v>
      </c>
      <c r="AF64" s="101">
        <f t="shared" si="56"/>
        <v>0</v>
      </c>
      <c r="AG64" s="101">
        <f t="shared" si="57"/>
        <v>0</v>
      </c>
      <c r="AH64" s="101">
        <f t="shared" si="58"/>
        <v>0</v>
      </c>
      <c r="AI64" s="93" t="s">
        <v>360</v>
      </c>
      <c r="AJ64" s="99">
        <f t="shared" si="59"/>
        <v>0</v>
      </c>
      <c r="AK64" s="99">
        <f t="shared" si="60"/>
        <v>0</v>
      </c>
      <c r="AL64" s="99">
        <f t="shared" si="61"/>
        <v>0</v>
      </c>
      <c r="AN64" s="101">
        <v>21</v>
      </c>
      <c r="AO64" s="101">
        <f t="shared" si="62"/>
        <v>0</v>
      </c>
      <c r="AP64" s="101">
        <f t="shared" si="63"/>
        <v>0</v>
      </c>
      <c r="AQ64" s="100" t="s">
        <v>57</v>
      </c>
      <c r="AV64" s="101">
        <f t="shared" si="64"/>
        <v>0</v>
      </c>
      <c r="AW64" s="101">
        <f t="shared" si="65"/>
        <v>0</v>
      </c>
      <c r="AX64" s="101">
        <f t="shared" si="66"/>
        <v>0</v>
      </c>
      <c r="AY64" s="102" t="s">
        <v>367</v>
      </c>
      <c r="AZ64" s="102" t="s">
        <v>376</v>
      </c>
      <c r="BA64" s="93" t="s">
        <v>393</v>
      </c>
      <c r="BC64" s="101">
        <f t="shared" si="67"/>
        <v>0</v>
      </c>
      <c r="BD64" s="101">
        <f t="shared" si="68"/>
        <v>0</v>
      </c>
      <c r="BE64" s="101">
        <v>0</v>
      </c>
      <c r="BF64" s="101">
        <f>64</f>
        <v>64</v>
      </c>
      <c r="BH64" s="99">
        <f t="shared" si="69"/>
        <v>0</v>
      </c>
      <c r="BI64" s="99">
        <f t="shared" si="70"/>
        <v>0</v>
      </c>
      <c r="BJ64" s="99">
        <f t="shared" si="71"/>
        <v>0</v>
      </c>
    </row>
    <row r="65" spans="1:62" ht="12.75">
      <c r="A65" s="13" t="s">
        <v>100</v>
      </c>
      <c r="B65" s="13" t="s">
        <v>187</v>
      </c>
      <c r="C65" s="48" t="s">
        <v>262</v>
      </c>
      <c r="D65" s="49"/>
      <c r="E65" s="49"/>
      <c r="F65" s="13" t="s">
        <v>323</v>
      </c>
      <c r="G65" s="23">
        <f>'Stavební rozpočet'!G65</f>
        <v>13</v>
      </c>
      <c r="H65" s="99">
        <f>'Stavební rozpočet'!H65</f>
        <v>0</v>
      </c>
      <c r="I65" s="99">
        <f t="shared" si="48"/>
        <v>0</v>
      </c>
      <c r="J65" s="99">
        <f t="shared" si="49"/>
        <v>0</v>
      </c>
      <c r="K65" s="99">
        <f t="shared" si="50"/>
        <v>0</v>
      </c>
      <c r="L65" s="100"/>
      <c r="Z65" s="101">
        <f t="shared" si="51"/>
        <v>0</v>
      </c>
      <c r="AB65" s="101">
        <f t="shared" si="52"/>
        <v>0</v>
      </c>
      <c r="AC65" s="101">
        <f t="shared" si="53"/>
        <v>0</v>
      </c>
      <c r="AD65" s="101">
        <f t="shared" si="54"/>
        <v>0</v>
      </c>
      <c r="AE65" s="101">
        <f t="shared" si="55"/>
        <v>0</v>
      </c>
      <c r="AF65" s="101">
        <f t="shared" si="56"/>
        <v>0</v>
      </c>
      <c r="AG65" s="101">
        <f t="shared" si="57"/>
        <v>0</v>
      </c>
      <c r="AH65" s="101">
        <f t="shared" si="58"/>
        <v>0</v>
      </c>
      <c r="AI65" s="93" t="s">
        <v>360</v>
      </c>
      <c r="AJ65" s="99">
        <f t="shared" si="59"/>
        <v>0</v>
      </c>
      <c r="AK65" s="99">
        <f t="shared" si="60"/>
        <v>0</v>
      </c>
      <c r="AL65" s="99">
        <f t="shared" si="61"/>
        <v>0</v>
      </c>
      <c r="AN65" s="101">
        <v>21</v>
      </c>
      <c r="AO65" s="101">
        <f t="shared" si="62"/>
        <v>0</v>
      </c>
      <c r="AP65" s="101">
        <f t="shared" si="63"/>
        <v>0</v>
      </c>
      <c r="AQ65" s="100" t="s">
        <v>57</v>
      </c>
      <c r="AV65" s="101">
        <f t="shared" si="64"/>
        <v>0</v>
      </c>
      <c r="AW65" s="101">
        <f t="shared" si="65"/>
        <v>0</v>
      </c>
      <c r="AX65" s="101">
        <f t="shared" si="66"/>
        <v>0</v>
      </c>
      <c r="AY65" s="102" t="s">
        <v>367</v>
      </c>
      <c r="AZ65" s="102" t="s">
        <v>376</v>
      </c>
      <c r="BA65" s="93" t="s">
        <v>393</v>
      </c>
      <c r="BC65" s="101">
        <f t="shared" si="67"/>
        <v>0</v>
      </c>
      <c r="BD65" s="101">
        <f t="shared" si="68"/>
        <v>0</v>
      </c>
      <c r="BE65" s="101">
        <v>0</v>
      </c>
      <c r="BF65" s="101">
        <f>65</f>
        <v>65</v>
      </c>
      <c r="BH65" s="99">
        <f t="shared" si="69"/>
        <v>0</v>
      </c>
      <c r="BI65" s="99">
        <f t="shared" si="70"/>
        <v>0</v>
      </c>
      <c r="BJ65" s="99">
        <f t="shared" si="71"/>
        <v>0</v>
      </c>
    </row>
    <row r="66" spans="1:62" ht="12.75">
      <c r="A66" s="13" t="s">
        <v>101</v>
      </c>
      <c r="B66" s="13" t="s">
        <v>188</v>
      </c>
      <c r="C66" s="48" t="s">
        <v>263</v>
      </c>
      <c r="D66" s="49"/>
      <c r="E66" s="49"/>
      <c r="F66" s="13" t="s">
        <v>323</v>
      </c>
      <c r="G66" s="23">
        <f>'Stavební rozpočet'!G66</f>
        <v>6</v>
      </c>
      <c r="H66" s="99">
        <f>'Stavební rozpočet'!H66</f>
        <v>0</v>
      </c>
      <c r="I66" s="99">
        <f t="shared" si="48"/>
        <v>0</v>
      </c>
      <c r="J66" s="99">
        <f t="shared" si="49"/>
        <v>0</v>
      </c>
      <c r="K66" s="99">
        <f t="shared" si="50"/>
        <v>0</v>
      </c>
      <c r="L66" s="100"/>
      <c r="Z66" s="101">
        <f t="shared" si="51"/>
        <v>0</v>
      </c>
      <c r="AB66" s="101">
        <f t="shared" si="52"/>
        <v>0</v>
      </c>
      <c r="AC66" s="101">
        <f t="shared" si="53"/>
        <v>0</v>
      </c>
      <c r="AD66" s="101">
        <f t="shared" si="54"/>
        <v>0</v>
      </c>
      <c r="AE66" s="101">
        <f t="shared" si="55"/>
        <v>0</v>
      </c>
      <c r="AF66" s="101">
        <f t="shared" si="56"/>
        <v>0</v>
      </c>
      <c r="AG66" s="101">
        <f t="shared" si="57"/>
        <v>0</v>
      </c>
      <c r="AH66" s="101">
        <f t="shared" si="58"/>
        <v>0</v>
      </c>
      <c r="AI66" s="93" t="s">
        <v>360</v>
      </c>
      <c r="AJ66" s="99">
        <f t="shared" si="59"/>
        <v>0</v>
      </c>
      <c r="AK66" s="99">
        <f t="shared" si="60"/>
        <v>0</v>
      </c>
      <c r="AL66" s="99">
        <f t="shared" si="61"/>
        <v>0</v>
      </c>
      <c r="AN66" s="101">
        <v>21</v>
      </c>
      <c r="AO66" s="101">
        <f t="shared" si="62"/>
        <v>0</v>
      </c>
      <c r="AP66" s="101">
        <f t="shared" si="63"/>
        <v>0</v>
      </c>
      <c r="AQ66" s="100" t="s">
        <v>57</v>
      </c>
      <c r="AV66" s="101">
        <f t="shared" si="64"/>
        <v>0</v>
      </c>
      <c r="AW66" s="101">
        <f t="shared" si="65"/>
        <v>0</v>
      </c>
      <c r="AX66" s="101">
        <f t="shared" si="66"/>
        <v>0</v>
      </c>
      <c r="AY66" s="102" t="s">
        <v>367</v>
      </c>
      <c r="AZ66" s="102" t="s">
        <v>376</v>
      </c>
      <c r="BA66" s="93" t="s">
        <v>393</v>
      </c>
      <c r="BC66" s="101">
        <f t="shared" si="67"/>
        <v>0</v>
      </c>
      <c r="BD66" s="101">
        <f t="shared" si="68"/>
        <v>0</v>
      </c>
      <c r="BE66" s="101">
        <v>0</v>
      </c>
      <c r="BF66" s="101">
        <f>66</f>
        <v>66</v>
      </c>
      <c r="BH66" s="99">
        <f t="shared" si="69"/>
        <v>0</v>
      </c>
      <c r="BI66" s="99">
        <f t="shared" si="70"/>
        <v>0</v>
      </c>
      <c r="BJ66" s="99">
        <f t="shared" si="71"/>
        <v>0</v>
      </c>
    </row>
    <row r="67" spans="1:62" ht="12.75">
      <c r="A67" s="13" t="s">
        <v>102</v>
      </c>
      <c r="B67" s="13" t="s">
        <v>189</v>
      </c>
      <c r="C67" s="48" t="s">
        <v>264</v>
      </c>
      <c r="D67" s="49"/>
      <c r="E67" s="49"/>
      <c r="F67" s="13" t="s">
        <v>323</v>
      </c>
      <c r="G67" s="23">
        <f>'Stavební rozpočet'!G67</f>
        <v>1</v>
      </c>
      <c r="H67" s="99">
        <f>'Stavební rozpočet'!H67</f>
        <v>0</v>
      </c>
      <c r="I67" s="99">
        <f t="shared" si="48"/>
        <v>0</v>
      </c>
      <c r="J67" s="99">
        <f t="shared" si="49"/>
        <v>0</v>
      </c>
      <c r="K67" s="99">
        <f t="shared" si="50"/>
        <v>0</v>
      </c>
      <c r="L67" s="100"/>
      <c r="Z67" s="101">
        <f t="shared" si="51"/>
        <v>0</v>
      </c>
      <c r="AB67" s="101">
        <f t="shared" si="52"/>
        <v>0</v>
      </c>
      <c r="AC67" s="101">
        <f t="shared" si="53"/>
        <v>0</v>
      </c>
      <c r="AD67" s="101">
        <f t="shared" si="54"/>
        <v>0</v>
      </c>
      <c r="AE67" s="101">
        <f t="shared" si="55"/>
        <v>0</v>
      </c>
      <c r="AF67" s="101">
        <f t="shared" si="56"/>
        <v>0</v>
      </c>
      <c r="AG67" s="101">
        <f t="shared" si="57"/>
        <v>0</v>
      </c>
      <c r="AH67" s="101">
        <f t="shared" si="58"/>
        <v>0</v>
      </c>
      <c r="AI67" s="93" t="s">
        <v>360</v>
      </c>
      <c r="AJ67" s="99">
        <f t="shared" si="59"/>
        <v>0</v>
      </c>
      <c r="AK67" s="99">
        <f t="shared" si="60"/>
        <v>0</v>
      </c>
      <c r="AL67" s="99">
        <f t="shared" si="61"/>
        <v>0</v>
      </c>
      <c r="AN67" s="101">
        <v>21</v>
      </c>
      <c r="AO67" s="101">
        <f t="shared" si="62"/>
        <v>0</v>
      </c>
      <c r="AP67" s="101">
        <f t="shared" si="63"/>
        <v>0</v>
      </c>
      <c r="AQ67" s="100" t="s">
        <v>57</v>
      </c>
      <c r="AV67" s="101">
        <f t="shared" si="64"/>
        <v>0</v>
      </c>
      <c r="AW67" s="101">
        <f t="shared" si="65"/>
        <v>0</v>
      </c>
      <c r="AX67" s="101">
        <f t="shared" si="66"/>
        <v>0</v>
      </c>
      <c r="AY67" s="102" t="s">
        <v>367</v>
      </c>
      <c r="AZ67" s="102" t="s">
        <v>376</v>
      </c>
      <c r="BA67" s="93" t="s">
        <v>393</v>
      </c>
      <c r="BC67" s="101">
        <f t="shared" si="67"/>
        <v>0</v>
      </c>
      <c r="BD67" s="101">
        <f t="shared" si="68"/>
        <v>0</v>
      </c>
      <c r="BE67" s="101">
        <v>0</v>
      </c>
      <c r="BF67" s="101">
        <f>67</f>
        <v>67</v>
      </c>
      <c r="BH67" s="99">
        <f t="shared" si="69"/>
        <v>0</v>
      </c>
      <c r="BI67" s="99">
        <f t="shared" si="70"/>
        <v>0</v>
      </c>
      <c r="BJ67" s="99">
        <f t="shared" si="71"/>
        <v>0</v>
      </c>
    </row>
    <row r="68" spans="1:62" ht="12.75">
      <c r="A68" s="13" t="s">
        <v>103</v>
      </c>
      <c r="B68" s="13" t="s">
        <v>190</v>
      </c>
      <c r="C68" s="48" t="s">
        <v>265</v>
      </c>
      <c r="D68" s="49"/>
      <c r="E68" s="49"/>
      <c r="F68" s="13" t="s">
        <v>323</v>
      </c>
      <c r="G68" s="23">
        <f>'Stavební rozpočet'!G68</f>
        <v>1</v>
      </c>
      <c r="H68" s="99">
        <f>'Stavební rozpočet'!H68</f>
        <v>0</v>
      </c>
      <c r="I68" s="99">
        <f t="shared" si="48"/>
        <v>0</v>
      </c>
      <c r="J68" s="99">
        <f t="shared" si="49"/>
        <v>0</v>
      </c>
      <c r="K68" s="99">
        <f t="shared" si="50"/>
        <v>0</v>
      </c>
      <c r="L68" s="100"/>
      <c r="Z68" s="101">
        <f t="shared" si="51"/>
        <v>0</v>
      </c>
      <c r="AB68" s="101">
        <f t="shared" si="52"/>
        <v>0</v>
      </c>
      <c r="AC68" s="101">
        <f t="shared" si="53"/>
        <v>0</v>
      </c>
      <c r="AD68" s="101">
        <f t="shared" si="54"/>
        <v>0</v>
      </c>
      <c r="AE68" s="101">
        <f t="shared" si="55"/>
        <v>0</v>
      </c>
      <c r="AF68" s="101">
        <f t="shared" si="56"/>
        <v>0</v>
      </c>
      <c r="AG68" s="101">
        <f t="shared" si="57"/>
        <v>0</v>
      </c>
      <c r="AH68" s="101">
        <f t="shared" si="58"/>
        <v>0</v>
      </c>
      <c r="AI68" s="93" t="s">
        <v>360</v>
      </c>
      <c r="AJ68" s="99">
        <f t="shared" si="59"/>
        <v>0</v>
      </c>
      <c r="AK68" s="99">
        <f t="shared" si="60"/>
        <v>0</v>
      </c>
      <c r="AL68" s="99">
        <f t="shared" si="61"/>
        <v>0</v>
      </c>
      <c r="AN68" s="101">
        <v>21</v>
      </c>
      <c r="AO68" s="101">
        <f t="shared" si="62"/>
        <v>0</v>
      </c>
      <c r="AP68" s="101">
        <f t="shared" si="63"/>
        <v>0</v>
      </c>
      <c r="AQ68" s="100" t="s">
        <v>57</v>
      </c>
      <c r="AV68" s="101">
        <f t="shared" si="64"/>
        <v>0</v>
      </c>
      <c r="AW68" s="101">
        <f t="shared" si="65"/>
        <v>0</v>
      </c>
      <c r="AX68" s="101">
        <f t="shared" si="66"/>
        <v>0</v>
      </c>
      <c r="AY68" s="102" t="s">
        <v>367</v>
      </c>
      <c r="AZ68" s="102" t="s">
        <v>376</v>
      </c>
      <c r="BA68" s="93" t="s">
        <v>393</v>
      </c>
      <c r="BC68" s="101">
        <f t="shared" si="67"/>
        <v>0</v>
      </c>
      <c r="BD68" s="101">
        <f t="shared" si="68"/>
        <v>0</v>
      </c>
      <c r="BE68" s="101">
        <v>0</v>
      </c>
      <c r="BF68" s="101">
        <f>68</f>
        <v>68</v>
      </c>
      <c r="BH68" s="99">
        <f t="shared" si="69"/>
        <v>0</v>
      </c>
      <c r="BI68" s="99">
        <f t="shared" si="70"/>
        <v>0</v>
      </c>
      <c r="BJ68" s="99">
        <f t="shared" si="71"/>
        <v>0</v>
      </c>
    </row>
    <row r="69" spans="1:62" ht="12.75">
      <c r="A69" s="13" t="s">
        <v>104</v>
      </c>
      <c r="B69" s="13" t="s">
        <v>191</v>
      </c>
      <c r="C69" s="48" t="s">
        <v>266</v>
      </c>
      <c r="D69" s="49"/>
      <c r="E69" s="49"/>
      <c r="F69" s="13" t="s">
        <v>323</v>
      </c>
      <c r="G69" s="23">
        <f>'Stavební rozpočet'!G69</f>
        <v>4</v>
      </c>
      <c r="H69" s="99">
        <f>'Stavební rozpočet'!H69</f>
        <v>0</v>
      </c>
      <c r="I69" s="99">
        <f t="shared" si="48"/>
        <v>0</v>
      </c>
      <c r="J69" s="99">
        <f t="shared" si="49"/>
        <v>0</v>
      </c>
      <c r="K69" s="99">
        <f t="shared" si="50"/>
        <v>0</v>
      </c>
      <c r="L69" s="100"/>
      <c r="Z69" s="101">
        <f t="shared" si="51"/>
        <v>0</v>
      </c>
      <c r="AB69" s="101">
        <f t="shared" si="52"/>
        <v>0</v>
      </c>
      <c r="AC69" s="101">
        <f t="shared" si="53"/>
        <v>0</v>
      </c>
      <c r="AD69" s="101">
        <f t="shared" si="54"/>
        <v>0</v>
      </c>
      <c r="AE69" s="101">
        <f t="shared" si="55"/>
        <v>0</v>
      </c>
      <c r="AF69" s="101">
        <f t="shared" si="56"/>
        <v>0</v>
      </c>
      <c r="AG69" s="101">
        <f t="shared" si="57"/>
        <v>0</v>
      </c>
      <c r="AH69" s="101">
        <f t="shared" si="58"/>
        <v>0</v>
      </c>
      <c r="AI69" s="93" t="s">
        <v>360</v>
      </c>
      <c r="AJ69" s="99">
        <f t="shared" si="59"/>
        <v>0</v>
      </c>
      <c r="AK69" s="99">
        <f t="shared" si="60"/>
        <v>0</v>
      </c>
      <c r="AL69" s="99">
        <f t="shared" si="61"/>
        <v>0</v>
      </c>
      <c r="AN69" s="101">
        <v>21</v>
      </c>
      <c r="AO69" s="101">
        <f t="shared" si="62"/>
        <v>0</v>
      </c>
      <c r="AP69" s="101">
        <f t="shared" si="63"/>
        <v>0</v>
      </c>
      <c r="AQ69" s="100" t="s">
        <v>57</v>
      </c>
      <c r="AV69" s="101">
        <f t="shared" si="64"/>
        <v>0</v>
      </c>
      <c r="AW69" s="101">
        <f t="shared" si="65"/>
        <v>0</v>
      </c>
      <c r="AX69" s="101">
        <f t="shared" si="66"/>
        <v>0</v>
      </c>
      <c r="AY69" s="102" t="s">
        <v>367</v>
      </c>
      <c r="AZ69" s="102" t="s">
        <v>376</v>
      </c>
      <c r="BA69" s="93" t="s">
        <v>393</v>
      </c>
      <c r="BC69" s="101">
        <f t="shared" si="67"/>
        <v>0</v>
      </c>
      <c r="BD69" s="101">
        <f t="shared" si="68"/>
        <v>0</v>
      </c>
      <c r="BE69" s="101">
        <v>0</v>
      </c>
      <c r="BF69" s="101">
        <f>69</f>
        <v>69</v>
      </c>
      <c r="BH69" s="99">
        <f t="shared" si="69"/>
        <v>0</v>
      </c>
      <c r="BI69" s="99">
        <f t="shared" si="70"/>
        <v>0</v>
      </c>
      <c r="BJ69" s="99">
        <f t="shared" si="71"/>
        <v>0</v>
      </c>
    </row>
    <row r="70" spans="1:62" ht="12.75">
      <c r="A70" s="13" t="s">
        <v>105</v>
      </c>
      <c r="B70" s="13" t="s">
        <v>192</v>
      </c>
      <c r="C70" s="48" t="s">
        <v>267</v>
      </c>
      <c r="D70" s="49"/>
      <c r="E70" s="49"/>
      <c r="F70" s="13" t="s">
        <v>323</v>
      </c>
      <c r="G70" s="23">
        <f>'Stavební rozpočet'!G70</f>
        <v>36</v>
      </c>
      <c r="H70" s="99">
        <f>'Stavební rozpočet'!H70</f>
        <v>0</v>
      </c>
      <c r="I70" s="99">
        <f t="shared" si="48"/>
        <v>0</v>
      </c>
      <c r="J70" s="99">
        <f t="shared" si="49"/>
        <v>0</v>
      </c>
      <c r="K70" s="99">
        <f t="shared" si="50"/>
        <v>0</v>
      </c>
      <c r="L70" s="100"/>
      <c r="Z70" s="101">
        <f t="shared" si="51"/>
        <v>0</v>
      </c>
      <c r="AB70" s="101">
        <f t="shared" si="52"/>
        <v>0</v>
      </c>
      <c r="AC70" s="101">
        <f t="shared" si="53"/>
        <v>0</v>
      </c>
      <c r="AD70" s="101">
        <f t="shared" si="54"/>
        <v>0</v>
      </c>
      <c r="AE70" s="101">
        <f t="shared" si="55"/>
        <v>0</v>
      </c>
      <c r="AF70" s="101">
        <f t="shared" si="56"/>
        <v>0</v>
      </c>
      <c r="AG70" s="101">
        <f t="shared" si="57"/>
        <v>0</v>
      </c>
      <c r="AH70" s="101">
        <f t="shared" si="58"/>
        <v>0</v>
      </c>
      <c r="AI70" s="93" t="s">
        <v>360</v>
      </c>
      <c r="AJ70" s="99">
        <f t="shared" si="59"/>
        <v>0</v>
      </c>
      <c r="AK70" s="99">
        <f t="shared" si="60"/>
        <v>0</v>
      </c>
      <c r="AL70" s="99">
        <f t="shared" si="61"/>
        <v>0</v>
      </c>
      <c r="AN70" s="101">
        <v>21</v>
      </c>
      <c r="AO70" s="101">
        <f t="shared" si="62"/>
        <v>0</v>
      </c>
      <c r="AP70" s="101">
        <f t="shared" si="63"/>
        <v>0</v>
      </c>
      <c r="AQ70" s="100" t="s">
        <v>57</v>
      </c>
      <c r="AV70" s="101">
        <f t="shared" si="64"/>
        <v>0</v>
      </c>
      <c r="AW70" s="101">
        <f t="shared" si="65"/>
        <v>0</v>
      </c>
      <c r="AX70" s="101">
        <f t="shared" si="66"/>
        <v>0</v>
      </c>
      <c r="AY70" s="102" t="s">
        <v>367</v>
      </c>
      <c r="AZ70" s="102" t="s">
        <v>376</v>
      </c>
      <c r="BA70" s="93" t="s">
        <v>393</v>
      </c>
      <c r="BC70" s="101">
        <f t="shared" si="67"/>
        <v>0</v>
      </c>
      <c r="BD70" s="101">
        <f t="shared" si="68"/>
        <v>0</v>
      </c>
      <c r="BE70" s="101">
        <v>0</v>
      </c>
      <c r="BF70" s="101">
        <f>70</f>
        <v>70</v>
      </c>
      <c r="BH70" s="99">
        <f t="shared" si="69"/>
        <v>0</v>
      </c>
      <c r="BI70" s="99">
        <f t="shared" si="70"/>
        <v>0</v>
      </c>
      <c r="BJ70" s="99">
        <f t="shared" si="71"/>
        <v>0</v>
      </c>
    </row>
    <row r="71" spans="1:62" ht="12.75">
      <c r="A71" s="13" t="s">
        <v>106</v>
      </c>
      <c r="B71" s="13" t="s">
        <v>193</v>
      </c>
      <c r="C71" s="48" t="s">
        <v>268</v>
      </c>
      <c r="D71" s="49"/>
      <c r="E71" s="49"/>
      <c r="F71" s="13" t="s">
        <v>323</v>
      </c>
      <c r="G71" s="23">
        <f>'Stavební rozpočet'!G71</f>
        <v>69</v>
      </c>
      <c r="H71" s="99">
        <f>'Stavební rozpočet'!H71</f>
        <v>0</v>
      </c>
      <c r="I71" s="99">
        <f t="shared" si="48"/>
        <v>0</v>
      </c>
      <c r="J71" s="99">
        <f t="shared" si="49"/>
        <v>0</v>
      </c>
      <c r="K71" s="99">
        <f t="shared" si="50"/>
        <v>0</v>
      </c>
      <c r="L71" s="100"/>
      <c r="Z71" s="101">
        <f t="shared" si="51"/>
        <v>0</v>
      </c>
      <c r="AB71" s="101">
        <f t="shared" si="52"/>
        <v>0</v>
      </c>
      <c r="AC71" s="101">
        <f t="shared" si="53"/>
        <v>0</v>
      </c>
      <c r="AD71" s="101">
        <f t="shared" si="54"/>
        <v>0</v>
      </c>
      <c r="AE71" s="101">
        <f t="shared" si="55"/>
        <v>0</v>
      </c>
      <c r="AF71" s="101">
        <f t="shared" si="56"/>
        <v>0</v>
      </c>
      <c r="AG71" s="101">
        <f t="shared" si="57"/>
        <v>0</v>
      </c>
      <c r="AH71" s="101">
        <f t="shared" si="58"/>
        <v>0</v>
      </c>
      <c r="AI71" s="93" t="s">
        <v>360</v>
      </c>
      <c r="AJ71" s="99">
        <f t="shared" si="59"/>
        <v>0</v>
      </c>
      <c r="AK71" s="99">
        <f t="shared" si="60"/>
        <v>0</v>
      </c>
      <c r="AL71" s="99">
        <f t="shared" si="61"/>
        <v>0</v>
      </c>
      <c r="AN71" s="101">
        <v>21</v>
      </c>
      <c r="AO71" s="101">
        <f t="shared" si="62"/>
        <v>0</v>
      </c>
      <c r="AP71" s="101">
        <f t="shared" si="63"/>
        <v>0</v>
      </c>
      <c r="AQ71" s="100" t="s">
        <v>57</v>
      </c>
      <c r="AV71" s="101">
        <f t="shared" si="64"/>
        <v>0</v>
      </c>
      <c r="AW71" s="101">
        <f t="shared" si="65"/>
        <v>0</v>
      </c>
      <c r="AX71" s="101">
        <f t="shared" si="66"/>
        <v>0</v>
      </c>
      <c r="AY71" s="102" t="s">
        <v>367</v>
      </c>
      <c r="AZ71" s="102" t="s">
        <v>376</v>
      </c>
      <c r="BA71" s="93" t="s">
        <v>393</v>
      </c>
      <c r="BC71" s="101">
        <f t="shared" si="67"/>
        <v>0</v>
      </c>
      <c r="BD71" s="101">
        <f t="shared" si="68"/>
        <v>0</v>
      </c>
      <c r="BE71" s="101">
        <v>0</v>
      </c>
      <c r="BF71" s="101">
        <f>71</f>
        <v>71</v>
      </c>
      <c r="BH71" s="99">
        <f t="shared" si="69"/>
        <v>0</v>
      </c>
      <c r="BI71" s="99">
        <f t="shared" si="70"/>
        <v>0</v>
      </c>
      <c r="BJ71" s="99">
        <f t="shared" si="71"/>
        <v>0</v>
      </c>
    </row>
    <row r="72" spans="1:62" ht="12.75">
      <c r="A72" s="13" t="s">
        <v>107</v>
      </c>
      <c r="B72" s="13" t="s">
        <v>194</v>
      </c>
      <c r="C72" s="48" t="s">
        <v>269</v>
      </c>
      <c r="D72" s="49"/>
      <c r="E72" s="49"/>
      <c r="F72" s="13" t="s">
        <v>323</v>
      </c>
      <c r="G72" s="23">
        <f>'Stavební rozpočet'!G72</f>
        <v>76</v>
      </c>
      <c r="H72" s="99">
        <f>'Stavební rozpočet'!H72</f>
        <v>0</v>
      </c>
      <c r="I72" s="99">
        <f t="shared" si="48"/>
        <v>0</v>
      </c>
      <c r="J72" s="99">
        <f t="shared" si="49"/>
        <v>0</v>
      </c>
      <c r="K72" s="99">
        <f t="shared" si="50"/>
        <v>0</v>
      </c>
      <c r="L72" s="100"/>
      <c r="Z72" s="101">
        <f t="shared" si="51"/>
        <v>0</v>
      </c>
      <c r="AB72" s="101">
        <f t="shared" si="52"/>
        <v>0</v>
      </c>
      <c r="AC72" s="101">
        <f t="shared" si="53"/>
        <v>0</v>
      </c>
      <c r="AD72" s="101">
        <f t="shared" si="54"/>
        <v>0</v>
      </c>
      <c r="AE72" s="101">
        <f t="shared" si="55"/>
        <v>0</v>
      </c>
      <c r="AF72" s="101">
        <f t="shared" si="56"/>
        <v>0</v>
      </c>
      <c r="AG72" s="101">
        <f t="shared" si="57"/>
        <v>0</v>
      </c>
      <c r="AH72" s="101">
        <f t="shared" si="58"/>
        <v>0</v>
      </c>
      <c r="AI72" s="93" t="s">
        <v>360</v>
      </c>
      <c r="AJ72" s="99">
        <f t="shared" si="59"/>
        <v>0</v>
      </c>
      <c r="AK72" s="99">
        <f t="shared" si="60"/>
        <v>0</v>
      </c>
      <c r="AL72" s="99">
        <f t="shared" si="61"/>
        <v>0</v>
      </c>
      <c r="AN72" s="101">
        <v>21</v>
      </c>
      <c r="AO72" s="101">
        <f t="shared" si="62"/>
        <v>0</v>
      </c>
      <c r="AP72" s="101">
        <f t="shared" si="63"/>
        <v>0</v>
      </c>
      <c r="AQ72" s="100" t="s">
        <v>57</v>
      </c>
      <c r="AV72" s="101">
        <f t="shared" si="64"/>
        <v>0</v>
      </c>
      <c r="AW72" s="101">
        <f t="shared" si="65"/>
        <v>0</v>
      </c>
      <c r="AX72" s="101">
        <f t="shared" si="66"/>
        <v>0</v>
      </c>
      <c r="AY72" s="102" t="s">
        <v>367</v>
      </c>
      <c r="AZ72" s="102" t="s">
        <v>376</v>
      </c>
      <c r="BA72" s="93" t="s">
        <v>393</v>
      </c>
      <c r="BC72" s="101">
        <f t="shared" si="67"/>
        <v>0</v>
      </c>
      <c r="BD72" s="101">
        <f t="shared" si="68"/>
        <v>0</v>
      </c>
      <c r="BE72" s="101">
        <v>0</v>
      </c>
      <c r="BF72" s="101">
        <f>72</f>
        <v>72</v>
      </c>
      <c r="BH72" s="99">
        <f t="shared" si="69"/>
        <v>0</v>
      </c>
      <c r="BI72" s="99">
        <f t="shared" si="70"/>
        <v>0</v>
      </c>
      <c r="BJ72" s="99">
        <f t="shared" si="71"/>
        <v>0</v>
      </c>
    </row>
    <row r="73" spans="1:62" ht="12.75">
      <c r="A73" s="13" t="s">
        <v>108</v>
      </c>
      <c r="B73" s="13" t="s">
        <v>195</v>
      </c>
      <c r="C73" s="48" t="s">
        <v>270</v>
      </c>
      <c r="D73" s="49"/>
      <c r="E73" s="49"/>
      <c r="F73" s="13" t="s">
        <v>323</v>
      </c>
      <c r="G73" s="23">
        <f>'Stavební rozpočet'!G73</f>
        <v>39</v>
      </c>
      <c r="H73" s="99">
        <f>'Stavební rozpočet'!H73</f>
        <v>0</v>
      </c>
      <c r="I73" s="99">
        <f t="shared" si="48"/>
        <v>0</v>
      </c>
      <c r="J73" s="99">
        <f t="shared" si="49"/>
        <v>0</v>
      </c>
      <c r="K73" s="99">
        <f t="shared" si="50"/>
        <v>0</v>
      </c>
      <c r="L73" s="100"/>
      <c r="Z73" s="101">
        <f t="shared" si="51"/>
        <v>0</v>
      </c>
      <c r="AB73" s="101">
        <f t="shared" si="52"/>
        <v>0</v>
      </c>
      <c r="AC73" s="101">
        <f t="shared" si="53"/>
        <v>0</v>
      </c>
      <c r="AD73" s="101">
        <f t="shared" si="54"/>
        <v>0</v>
      </c>
      <c r="AE73" s="101">
        <f t="shared" si="55"/>
        <v>0</v>
      </c>
      <c r="AF73" s="101">
        <f t="shared" si="56"/>
        <v>0</v>
      </c>
      <c r="AG73" s="101">
        <f t="shared" si="57"/>
        <v>0</v>
      </c>
      <c r="AH73" s="101">
        <f t="shared" si="58"/>
        <v>0</v>
      </c>
      <c r="AI73" s="93" t="s">
        <v>360</v>
      </c>
      <c r="AJ73" s="99">
        <f t="shared" si="59"/>
        <v>0</v>
      </c>
      <c r="AK73" s="99">
        <f t="shared" si="60"/>
        <v>0</v>
      </c>
      <c r="AL73" s="99">
        <f t="shared" si="61"/>
        <v>0</v>
      </c>
      <c r="AN73" s="101">
        <v>21</v>
      </c>
      <c r="AO73" s="101">
        <f t="shared" si="62"/>
        <v>0</v>
      </c>
      <c r="AP73" s="101">
        <f t="shared" si="63"/>
        <v>0</v>
      </c>
      <c r="AQ73" s="100" t="s">
        <v>57</v>
      </c>
      <c r="AV73" s="101">
        <f t="shared" si="64"/>
        <v>0</v>
      </c>
      <c r="AW73" s="101">
        <f t="shared" si="65"/>
        <v>0</v>
      </c>
      <c r="AX73" s="101">
        <f t="shared" si="66"/>
        <v>0</v>
      </c>
      <c r="AY73" s="102" t="s">
        <v>367</v>
      </c>
      <c r="AZ73" s="102" t="s">
        <v>376</v>
      </c>
      <c r="BA73" s="93" t="s">
        <v>393</v>
      </c>
      <c r="BC73" s="101">
        <f t="shared" si="67"/>
        <v>0</v>
      </c>
      <c r="BD73" s="101">
        <f t="shared" si="68"/>
        <v>0</v>
      </c>
      <c r="BE73" s="101">
        <v>0</v>
      </c>
      <c r="BF73" s="101">
        <f>73</f>
        <v>73</v>
      </c>
      <c r="BH73" s="99">
        <f t="shared" si="69"/>
        <v>0</v>
      </c>
      <c r="BI73" s="99">
        <f t="shared" si="70"/>
        <v>0</v>
      </c>
      <c r="BJ73" s="99">
        <f t="shared" si="71"/>
        <v>0</v>
      </c>
    </row>
    <row r="74" spans="1:62" ht="12.75">
      <c r="A74" s="13" t="s">
        <v>109</v>
      </c>
      <c r="B74" s="13" t="s">
        <v>196</v>
      </c>
      <c r="C74" s="48" t="s">
        <v>271</v>
      </c>
      <c r="D74" s="49"/>
      <c r="E74" s="49"/>
      <c r="F74" s="13" t="s">
        <v>323</v>
      </c>
      <c r="G74" s="23">
        <f>'Stavební rozpočet'!G74</f>
        <v>16</v>
      </c>
      <c r="H74" s="99">
        <f>'Stavební rozpočet'!H74</f>
        <v>0</v>
      </c>
      <c r="I74" s="99">
        <f t="shared" si="48"/>
        <v>0</v>
      </c>
      <c r="J74" s="99">
        <f t="shared" si="49"/>
        <v>0</v>
      </c>
      <c r="K74" s="99">
        <f t="shared" si="50"/>
        <v>0</v>
      </c>
      <c r="L74" s="100"/>
      <c r="Z74" s="101">
        <f t="shared" si="51"/>
        <v>0</v>
      </c>
      <c r="AB74" s="101">
        <f t="shared" si="52"/>
        <v>0</v>
      </c>
      <c r="AC74" s="101">
        <f t="shared" si="53"/>
        <v>0</v>
      </c>
      <c r="AD74" s="101">
        <f t="shared" si="54"/>
        <v>0</v>
      </c>
      <c r="AE74" s="101">
        <f t="shared" si="55"/>
        <v>0</v>
      </c>
      <c r="AF74" s="101">
        <f t="shared" si="56"/>
        <v>0</v>
      </c>
      <c r="AG74" s="101">
        <f t="shared" si="57"/>
        <v>0</v>
      </c>
      <c r="AH74" s="101">
        <f t="shared" si="58"/>
        <v>0</v>
      </c>
      <c r="AI74" s="93" t="s">
        <v>360</v>
      </c>
      <c r="AJ74" s="99">
        <f t="shared" si="59"/>
        <v>0</v>
      </c>
      <c r="AK74" s="99">
        <f t="shared" si="60"/>
        <v>0</v>
      </c>
      <c r="AL74" s="99">
        <f t="shared" si="61"/>
        <v>0</v>
      </c>
      <c r="AN74" s="101">
        <v>21</v>
      </c>
      <c r="AO74" s="101">
        <f t="shared" si="62"/>
        <v>0</v>
      </c>
      <c r="AP74" s="101">
        <f t="shared" si="63"/>
        <v>0</v>
      </c>
      <c r="AQ74" s="100" t="s">
        <v>57</v>
      </c>
      <c r="AV74" s="101">
        <f t="shared" si="64"/>
        <v>0</v>
      </c>
      <c r="AW74" s="101">
        <f t="shared" si="65"/>
        <v>0</v>
      </c>
      <c r="AX74" s="101">
        <f t="shared" si="66"/>
        <v>0</v>
      </c>
      <c r="AY74" s="102" t="s">
        <v>367</v>
      </c>
      <c r="AZ74" s="102" t="s">
        <v>376</v>
      </c>
      <c r="BA74" s="93" t="s">
        <v>393</v>
      </c>
      <c r="BC74" s="101">
        <f t="shared" si="67"/>
        <v>0</v>
      </c>
      <c r="BD74" s="101">
        <f t="shared" si="68"/>
        <v>0</v>
      </c>
      <c r="BE74" s="101">
        <v>0</v>
      </c>
      <c r="BF74" s="101">
        <f>74</f>
        <v>74</v>
      </c>
      <c r="BH74" s="99">
        <f t="shared" si="69"/>
        <v>0</v>
      </c>
      <c r="BI74" s="99">
        <f t="shared" si="70"/>
        <v>0</v>
      </c>
      <c r="BJ74" s="99">
        <f t="shared" si="71"/>
        <v>0</v>
      </c>
    </row>
    <row r="75" spans="1:62" ht="12.75">
      <c r="A75" s="13" t="s">
        <v>110</v>
      </c>
      <c r="B75" s="13" t="s">
        <v>196</v>
      </c>
      <c r="C75" s="48" t="s">
        <v>272</v>
      </c>
      <c r="D75" s="49"/>
      <c r="E75" s="49"/>
      <c r="F75" s="13" t="s">
        <v>323</v>
      </c>
      <c r="G75" s="23">
        <f>'Stavební rozpočet'!G75</f>
        <v>4</v>
      </c>
      <c r="H75" s="99">
        <f>'Stavební rozpočet'!H75</f>
        <v>0</v>
      </c>
      <c r="I75" s="99">
        <f t="shared" si="48"/>
        <v>0</v>
      </c>
      <c r="J75" s="99">
        <f t="shared" si="49"/>
        <v>0</v>
      </c>
      <c r="K75" s="99">
        <f t="shared" si="50"/>
        <v>0</v>
      </c>
      <c r="L75" s="100"/>
      <c r="Z75" s="101">
        <f t="shared" si="51"/>
        <v>0</v>
      </c>
      <c r="AB75" s="101">
        <f t="shared" si="52"/>
        <v>0</v>
      </c>
      <c r="AC75" s="101">
        <f t="shared" si="53"/>
        <v>0</v>
      </c>
      <c r="AD75" s="101">
        <f t="shared" si="54"/>
        <v>0</v>
      </c>
      <c r="AE75" s="101">
        <f t="shared" si="55"/>
        <v>0</v>
      </c>
      <c r="AF75" s="101">
        <f t="shared" si="56"/>
        <v>0</v>
      </c>
      <c r="AG75" s="101">
        <f t="shared" si="57"/>
        <v>0</v>
      </c>
      <c r="AH75" s="101">
        <f t="shared" si="58"/>
        <v>0</v>
      </c>
      <c r="AI75" s="93" t="s">
        <v>360</v>
      </c>
      <c r="AJ75" s="99">
        <f t="shared" si="59"/>
        <v>0</v>
      </c>
      <c r="AK75" s="99">
        <f t="shared" si="60"/>
        <v>0</v>
      </c>
      <c r="AL75" s="99">
        <f t="shared" si="61"/>
        <v>0</v>
      </c>
      <c r="AN75" s="101">
        <v>21</v>
      </c>
      <c r="AO75" s="101">
        <f t="shared" si="62"/>
        <v>0</v>
      </c>
      <c r="AP75" s="101">
        <f t="shared" si="63"/>
        <v>0</v>
      </c>
      <c r="AQ75" s="100" t="s">
        <v>57</v>
      </c>
      <c r="AV75" s="101">
        <f t="shared" si="64"/>
        <v>0</v>
      </c>
      <c r="AW75" s="101">
        <f t="shared" si="65"/>
        <v>0</v>
      </c>
      <c r="AX75" s="101">
        <f t="shared" si="66"/>
        <v>0</v>
      </c>
      <c r="AY75" s="102" t="s">
        <v>367</v>
      </c>
      <c r="AZ75" s="102" t="s">
        <v>376</v>
      </c>
      <c r="BA75" s="93" t="s">
        <v>393</v>
      </c>
      <c r="BC75" s="101">
        <f t="shared" si="67"/>
        <v>0</v>
      </c>
      <c r="BD75" s="101">
        <f t="shared" si="68"/>
        <v>0</v>
      </c>
      <c r="BE75" s="101">
        <v>0</v>
      </c>
      <c r="BF75" s="101">
        <f>75</f>
        <v>75</v>
      </c>
      <c r="BH75" s="99">
        <f t="shared" si="69"/>
        <v>0</v>
      </c>
      <c r="BI75" s="99">
        <f t="shared" si="70"/>
        <v>0</v>
      </c>
      <c r="BJ75" s="99">
        <f t="shared" si="71"/>
        <v>0</v>
      </c>
    </row>
    <row r="76" spans="1:62" ht="12.75">
      <c r="A76" s="13" t="s">
        <v>111</v>
      </c>
      <c r="B76" s="13" t="s">
        <v>178</v>
      </c>
      <c r="C76" s="48" t="s">
        <v>254</v>
      </c>
      <c r="D76" s="49"/>
      <c r="E76" s="49"/>
      <c r="F76" s="13" t="s">
        <v>324</v>
      </c>
      <c r="G76" s="23">
        <f>'Stavební rozpočet'!G76</f>
        <v>8</v>
      </c>
      <c r="H76" s="99">
        <f>'Stavební rozpočet'!H76</f>
        <v>0</v>
      </c>
      <c r="I76" s="99">
        <f t="shared" si="48"/>
        <v>0</v>
      </c>
      <c r="J76" s="99">
        <f t="shared" si="49"/>
        <v>0</v>
      </c>
      <c r="K76" s="99">
        <f t="shared" si="50"/>
        <v>0</v>
      </c>
      <c r="L76" s="100" t="s">
        <v>345</v>
      </c>
      <c r="Z76" s="101">
        <f t="shared" si="51"/>
        <v>0</v>
      </c>
      <c r="AB76" s="101">
        <f t="shared" si="52"/>
        <v>0</v>
      </c>
      <c r="AC76" s="101">
        <f t="shared" si="53"/>
        <v>0</v>
      </c>
      <c r="AD76" s="101">
        <f t="shared" si="54"/>
        <v>0</v>
      </c>
      <c r="AE76" s="101">
        <f t="shared" si="55"/>
        <v>0</v>
      </c>
      <c r="AF76" s="101">
        <f t="shared" si="56"/>
        <v>0</v>
      </c>
      <c r="AG76" s="101">
        <f t="shared" si="57"/>
        <v>0</v>
      </c>
      <c r="AH76" s="101">
        <f t="shared" si="58"/>
        <v>0</v>
      </c>
      <c r="AI76" s="93" t="s">
        <v>360</v>
      </c>
      <c r="AJ76" s="99">
        <f t="shared" si="59"/>
        <v>0</v>
      </c>
      <c r="AK76" s="99">
        <f t="shared" si="60"/>
        <v>0</v>
      </c>
      <c r="AL76" s="99">
        <f t="shared" si="61"/>
        <v>0</v>
      </c>
      <c r="AN76" s="101">
        <v>21</v>
      </c>
      <c r="AO76" s="101">
        <f t="shared" si="62"/>
        <v>0</v>
      </c>
      <c r="AP76" s="101">
        <f t="shared" si="63"/>
        <v>0</v>
      </c>
      <c r="AQ76" s="100" t="s">
        <v>57</v>
      </c>
      <c r="AV76" s="101">
        <f t="shared" si="64"/>
        <v>0</v>
      </c>
      <c r="AW76" s="101">
        <f t="shared" si="65"/>
        <v>0</v>
      </c>
      <c r="AX76" s="101">
        <f t="shared" si="66"/>
        <v>0</v>
      </c>
      <c r="AY76" s="102" t="s">
        <v>367</v>
      </c>
      <c r="AZ76" s="102" t="s">
        <v>376</v>
      </c>
      <c r="BA76" s="93" t="s">
        <v>393</v>
      </c>
      <c r="BC76" s="101">
        <f t="shared" si="67"/>
        <v>0</v>
      </c>
      <c r="BD76" s="101">
        <f t="shared" si="68"/>
        <v>0</v>
      </c>
      <c r="BE76" s="101">
        <v>0</v>
      </c>
      <c r="BF76" s="101">
        <f>76</f>
        <v>76</v>
      </c>
      <c r="BH76" s="99">
        <f t="shared" si="69"/>
        <v>0</v>
      </c>
      <c r="BI76" s="99">
        <f t="shared" si="70"/>
        <v>0</v>
      </c>
      <c r="BJ76" s="99">
        <f t="shared" si="71"/>
        <v>0</v>
      </c>
    </row>
    <row r="77" spans="1:12" ht="12.75">
      <c r="A77" s="14"/>
      <c r="B77" s="21"/>
      <c r="C77" s="50" t="s">
        <v>273</v>
      </c>
      <c r="D77" s="51"/>
      <c r="E77" s="51"/>
      <c r="F77" s="14" t="s">
        <v>56</v>
      </c>
      <c r="G77" s="14" t="s">
        <v>56</v>
      </c>
      <c r="H77" s="103" t="s">
        <v>56</v>
      </c>
      <c r="I77" s="104">
        <f>I78+I80+I87</f>
        <v>0</v>
      </c>
      <c r="J77" s="104">
        <f>J78+J80+J87</f>
        <v>0</v>
      </c>
      <c r="K77" s="104">
        <f>K78+K80+K87</f>
        <v>0</v>
      </c>
      <c r="L77" s="105"/>
    </row>
    <row r="78" spans="1:47" ht="12.75">
      <c r="A78" s="12"/>
      <c r="B78" s="20" t="s">
        <v>197</v>
      </c>
      <c r="C78" s="46" t="s">
        <v>274</v>
      </c>
      <c r="D78" s="47"/>
      <c r="E78" s="47"/>
      <c r="F78" s="12" t="s">
        <v>56</v>
      </c>
      <c r="G78" s="12" t="s">
        <v>56</v>
      </c>
      <c r="H78" s="97" t="s">
        <v>56</v>
      </c>
      <c r="I78" s="98">
        <f>SUM(I79:I79)</f>
        <v>0</v>
      </c>
      <c r="J78" s="98">
        <f>SUM(J79:J79)</f>
        <v>0</v>
      </c>
      <c r="K78" s="98">
        <f>SUM(K79:K79)</f>
        <v>0</v>
      </c>
      <c r="L78" s="93"/>
      <c r="AI78" s="93" t="s">
        <v>361</v>
      </c>
      <c r="AS78" s="98">
        <f>SUM(AJ79:AJ79)</f>
        <v>0</v>
      </c>
      <c r="AT78" s="98">
        <f>SUM(AK79:AK79)</f>
        <v>0</v>
      </c>
      <c r="AU78" s="98">
        <f>SUM(AL79:AL79)</f>
        <v>0</v>
      </c>
    </row>
    <row r="79" spans="1:62" ht="12.75">
      <c r="A79" s="13" t="s">
        <v>112</v>
      </c>
      <c r="B79" s="13" t="s">
        <v>198</v>
      </c>
      <c r="C79" s="48" t="s">
        <v>275</v>
      </c>
      <c r="D79" s="49"/>
      <c r="E79" s="49"/>
      <c r="F79" s="13" t="s">
        <v>326</v>
      </c>
      <c r="G79" s="23">
        <f>'Stavební rozpočet'!G79</f>
        <v>225</v>
      </c>
      <c r="H79" s="99">
        <f>'Stavební rozpočet'!H79</f>
        <v>0</v>
      </c>
      <c r="I79" s="99">
        <f>G79*AO79</f>
        <v>0</v>
      </c>
      <c r="J79" s="99">
        <f>G79*AP79</f>
        <v>0</v>
      </c>
      <c r="K79" s="99">
        <f>G79*H79</f>
        <v>0</v>
      </c>
      <c r="L79" s="100"/>
      <c r="Z79" s="101">
        <f>IF(AQ79="5",BJ79,0)</f>
        <v>0</v>
      </c>
      <c r="AB79" s="101">
        <f>IF(AQ79="1",BH79,0)</f>
        <v>0</v>
      </c>
      <c r="AC79" s="101">
        <f>IF(AQ79="1",BI79,0)</f>
        <v>0</v>
      </c>
      <c r="AD79" s="101">
        <f>IF(AQ79="7",BH79,0)</f>
        <v>0</v>
      </c>
      <c r="AE79" s="101">
        <f>IF(AQ79="7",BI79,0)</f>
        <v>0</v>
      </c>
      <c r="AF79" s="101">
        <f>IF(AQ79="2",BH79,0)</f>
        <v>0</v>
      </c>
      <c r="AG79" s="101">
        <f>IF(AQ79="2",BI79,0)</f>
        <v>0</v>
      </c>
      <c r="AH79" s="101">
        <f>IF(AQ79="0",BJ79,0)</f>
        <v>0</v>
      </c>
      <c r="AI79" s="93" t="s">
        <v>361</v>
      </c>
      <c r="AJ79" s="99">
        <f>IF(AN79=0,K79,0)</f>
        <v>0</v>
      </c>
      <c r="AK79" s="99">
        <f>IF(AN79=15,K79,0)</f>
        <v>0</v>
      </c>
      <c r="AL79" s="99">
        <f>IF(AN79=21,K79,0)</f>
        <v>0</v>
      </c>
      <c r="AN79" s="101">
        <v>21</v>
      </c>
      <c r="AO79" s="101">
        <f>H79*0</f>
        <v>0</v>
      </c>
      <c r="AP79" s="101">
        <f>H79*(1-0)</f>
        <v>0</v>
      </c>
      <c r="AQ79" s="100" t="s">
        <v>57</v>
      </c>
      <c r="AV79" s="101">
        <f>AW79+AX79</f>
        <v>0</v>
      </c>
      <c r="AW79" s="101">
        <f>G79*AO79</f>
        <v>0</v>
      </c>
      <c r="AX79" s="101">
        <f>G79*AP79</f>
        <v>0</v>
      </c>
      <c r="AY79" s="102" t="s">
        <v>368</v>
      </c>
      <c r="AZ79" s="102" t="s">
        <v>377</v>
      </c>
      <c r="BA79" s="93" t="s">
        <v>394</v>
      </c>
      <c r="BC79" s="101">
        <f>AW79+AX79</f>
        <v>0</v>
      </c>
      <c r="BD79" s="101">
        <f>H79/(100-BE79)*100</f>
        <v>0</v>
      </c>
      <c r="BE79" s="101">
        <v>0</v>
      </c>
      <c r="BF79" s="101">
        <f>79</f>
        <v>79</v>
      </c>
      <c r="BH79" s="99">
        <f>G79*AO79</f>
        <v>0</v>
      </c>
      <c r="BI79" s="99">
        <f>G79*AP79</f>
        <v>0</v>
      </c>
      <c r="BJ79" s="99">
        <f>G79*H79</f>
        <v>0</v>
      </c>
    </row>
    <row r="80" spans="1:47" ht="12.75">
      <c r="A80" s="12"/>
      <c r="B80" s="20" t="s">
        <v>74</v>
      </c>
      <c r="C80" s="46" t="s">
        <v>276</v>
      </c>
      <c r="D80" s="47"/>
      <c r="E80" s="47"/>
      <c r="F80" s="12" t="s">
        <v>56</v>
      </c>
      <c r="G80" s="12" t="s">
        <v>56</v>
      </c>
      <c r="H80" s="97" t="s">
        <v>56</v>
      </c>
      <c r="I80" s="98">
        <f>SUM(I81:I86)</f>
        <v>0</v>
      </c>
      <c r="J80" s="98">
        <f>SUM(J81:J86)</f>
        <v>0</v>
      </c>
      <c r="K80" s="98">
        <f>SUM(K81:K86)</f>
        <v>0</v>
      </c>
      <c r="L80" s="93"/>
      <c r="AI80" s="93" t="s">
        <v>361</v>
      </c>
      <c r="AS80" s="98">
        <f>SUM(AJ81:AJ86)</f>
        <v>0</v>
      </c>
      <c r="AT80" s="98">
        <f>SUM(AK81:AK86)</f>
        <v>0</v>
      </c>
      <c r="AU80" s="98">
        <f>SUM(AL81:AL86)</f>
        <v>0</v>
      </c>
    </row>
    <row r="81" spans="1:62" ht="12.75">
      <c r="A81" s="13" t="s">
        <v>113</v>
      </c>
      <c r="B81" s="13" t="s">
        <v>199</v>
      </c>
      <c r="C81" s="48" t="s">
        <v>277</v>
      </c>
      <c r="D81" s="49"/>
      <c r="E81" s="49"/>
      <c r="F81" s="13" t="s">
        <v>323</v>
      </c>
      <c r="G81" s="23">
        <f>'Stavební rozpočet'!G81</f>
        <v>225</v>
      </c>
      <c r="H81" s="99">
        <f>'Stavební rozpočet'!H81</f>
        <v>0</v>
      </c>
      <c r="I81" s="99">
        <f aca="true" t="shared" si="72" ref="I81:I86">G81*AO81</f>
        <v>0</v>
      </c>
      <c r="J81" s="99">
        <f aca="true" t="shared" si="73" ref="J81:J86">G81*AP81</f>
        <v>0</v>
      </c>
      <c r="K81" s="99">
        <f aca="true" t="shared" si="74" ref="K81:K86">G81*H81</f>
        <v>0</v>
      </c>
      <c r="L81" s="100" t="s">
        <v>346</v>
      </c>
      <c r="Z81" s="101">
        <f aca="true" t="shared" si="75" ref="Z81:Z86">IF(AQ81="5",BJ81,0)</f>
        <v>0</v>
      </c>
      <c r="AB81" s="101">
        <f aca="true" t="shared" si="76" ref="AB81:AB86">IF(AQ81="1",BH81,0)</f>
        <v>0</v>
      </c>
      <c r="AC81" s="101">
        <f aca="true" t="shared" si="77" ref="AC81:AC86">IF(AQ81="1",BI81,0)</f>
        <v>0</v>
      </c>
      <c r="AD81" s="101">
        <f aca="true" t="shared" si="78" ref="AD81:AD86">IF(AQ81="7",BH81,0)</f>
        <v>0</v>
      </c>
      <c r="AE81" s="101">
        <f aca="true" t="shared" si="79" ref="AE81:AE86">IF(AQ81="7",BI81,0)</f>
        <v>0</v>
      </c>
      <c r="AF81" s="101">
        <f aca="true" t="shared" si="80" ref="AF81:AF86">IF(AQ81="2",BH81,0)</f>
        <v>0</v>
      </c>
      <c r="AG81" s="101">
        <f aca="true" t="shared" si="81" ref="AG81:AG86">IF(AQ81="2",BI81,0)</f>
        <v>0</v>
      </c>
      <c r="AH81" s="101">
        <f aca="true" t="shared" si="82" ref="AH81:AH86">IF(AQ81="0",BJ81,0)</f>
        <v>0</v>
      </c>
      <c r="AI81" s="93" t="s">
        <v>361</v>
      </c>
      <c r="AJ81" s="99">
        <f aca="true" t="shared" si="83" ref="AJ81:AJ86">IF(AN81=0,K81,0)</f>
        <v>0</v>
      </c>
      <c r="AK81" s="99">
        <f aca="true" t="shared" si="84" ref="AK81:AK86">IF(AN81=15,K81,0)</f>
        <v>0</v>
      </c>
      <c r="AL81" s="99">
        <f aca="true" t="shared" si="85" ref="AL81:AL86">IF(AN81=21,K81,0)</f>
        <v>0</v>
      </c>
      <c r="AN81" s="101">
        <v>21</v>
      </c>
      <c r="AO81" s="101">
        <f>H81*0</f>
        <v>0</v>
      </c>
      <c r="AP81" s="101">
        <f>H81*(1-0)</f>
        <v>0</v>
      </c>
      <c r="AQ81" s="100" t="s">
        <v>57</v>
      </c>
      <c r="AV81" s="101">
        <f aca="true" t="shared" si="86" ref="AV81:AV86">AW81+AX81</f>
        <v>0</v>
      </c>
      <c r="AW81" s="101">
        <f aca="true" t="shared" si="87" ref="AW81:AW86">G81*AO81</f>
        <v>0</v>
      </c>
      <c r="AX81" s="101">
        <f aca="true" t="shared" si="88" ref="AX81:AX86">G81*AP81</f>
        <v>0</v>
      </c>
      <c r="AY81" s="102" t="s">
        <v>369</v>
      </c>
      <c r="AZ81" s="102" t="s">
        <v>377</v>
      </c>
      <c r="BA81" s="93" t="s">
        <v>394</v>
      </c>
      <c r="BC81" s="101">
        <f aca="true" t="shared" si="89" ref="BC81:BC86">AW81+AX81</f>
        <v>0</v>
      </c>
      <c r="BD81" s="101">
        <f aca="true" t="shared" si="90" ref="BD81:BD86">H81/(100-BE81)*100</f>
        <v>0</v>
      </c>
      <c r="BE81" s="101">
        <v>0</v>
      </c>
      <c r="BF81" s="101">
        <f>81</f>
        <v>81</v>
      </c>
      <c r="BH81" s="99">
        <f aca="true" t="shared" si="91" ref="BH81:BH86">G81*AO81</f>
        <v>0</v>
      </c>
      <c r="BI81" s="99">
        <f aca="true" t="shared" si="92" ref="BI81:BI86">G81*AP81</f>
        <v>0</v>
      </c>
      <c r="BJ81" s="99">
        <f aca="true" t="shared" si="93" ref="BJ81:BJ86">G81*H81</f>
        <v>0</v>
      </c>
    </row>
    <row r="82" spans="1:62" ht="12.75">
      <c r="A82" s="13" t="s">
        <v>114</v>
      </c>
      <c r="B82" s="13" t="s">
        <v>200</v>
      </c>
      <c r="C82" s="48" t="s">
        <v>278</v>
      </c>
      <c r="D82" s="49"/>
      <c r="E82" s="49"/>
      <c r="F82" s="13" t="s">
        <v>323</v>
      </c>
      <c r="G82" s="23">
        <f>'Stavební rozpočet'!G82</f>
        <v>225</v>
      </c>
      <c r="H82" s="99">
        <f>'Stavební rozpočet'!H82</f>
        <v>0</v>
      </c>
      <c r="I82" s="99">
        <f t="shared" si="72"/>
        <v>0</v>
      </c>
      <c r="J82" s="99">
        <f t="shared" si="73"/>
        <v>0</v>
      </c>
      <c r="K82" s="99">
        <f t="shared" si="74"/>
        <v>0</v>
      </c>
      <c r="L82" s="100" t="s">
        <v>346</v>
      </c>
      <c r="Z82" s="101">
        <f t="shared" si="75"/>
        <v>0</v>
      </c>
      <c r="AB82" s="101">
        <f t="shared" si="76"/>
        <v>0</v>
      </c>
      <c r="AC82" s="101">
        <f t="shared" si="77"/>
        <v>0</v>
      </c>
      <c r="AD82" s="101">
        <f t="shared" si="78"/>
        <v>0</v>
      </c>
      <c r="AE82" s="101">
        <f t="shared" si="79"/>
        <v>0</v>
      </c>
      <c r="AF82" s="101">
        <f t="shared" si="80"/>
        <v>0</v>
      </c>
      <c r="AG82" s="101">
        <f t="shared" si="81"/>
        <v>0</v>
      </c>
      <c r="AH82" s="101">
        <f t="shared" si="82"/>
        <v>0</v>
      </c>
      <c r="AI82" s="93" t="s">
        <v>361</v>
      </c>
      <c r="AJ82" s="99">
        <f t="shared" si="83"/>
        <v>0</v>
      </c>
      <c r="AK82" s="99">
        <f t="shared" si="84"/>
        <v>0</v>
      </c>
      <c r="AL82" s="99">
        <f t="shared" si="85"/>
        <v>0</v>
      </c>
      <c r="AN82" s="101">
        <v>21</v>
      </c>
      <c r="AO82" s="101">
        <f>H82*0.0126023944549464</f>
        <v>0</v>
      </c>
      <c r="AP82" s="101">
        <f>H82*(1-0.0126023944549464)</f>
        <v>0</v>
      </c>
      <c r="AQ82" s="100" t="s">
        <v>57</v>
      </c>
      <c r="AV82" s="101">
        <f t="shared" si="86"/>
        <v>0</v>
      </c>
      <c r="AW82" s="101">
        <f t="shared" si="87"/>
        <v>0</v>
      </c>
      <c r="AX82" s="101">
        <f t="shared" si="88"/>
        <v>0</v>
      </c>
      <c r="AY82" s="102" t="s">
        <v>369</v>
      </c>
      <c r="AZ82" s="102" t="s">
        <v>377</v>
      </c>
      <c r="BA82" s="93" t="s">
        <v>394</v>
      </c>
      <c r="BC82" s="101">
        <f t="shared" si="89"/>
        <v>0</v>
      </c>
      <c r="BD82" s="101">
        <f t="shared" si="90"/>
        <v>0</v>
      </c>
      <c r="BE82" s="101">
        <v>0</v>
      </c>
      <c r="BF82" s="101">
        <f>82</f>
        <v>82</v>
      </c>
      <c r="BH82" s="99">
        <f t="shared" si="91"/>
        <v>0</v>
      </c>
      <c r="BI82" s="99">
        <f t="shared" si="92"/>
        <v>0</v>
      </c>
      <c r="BJ82" s="99">
        <f t="shared" si="93"/>
        <v>0</v>
      </c>
    </row>
    <row r="83" spans="1:62" ht="12.75">
      <c r="A83" s="13" t="s">
        <v>115</v>
      </c>
      <c r="B83" s="13" t="s">
        <v>201</v>
      </c>
      <c r="C83" s="48" t="s">
        <v>279</v>
      </c>
      <c r="D83" s="49"/>
      <c r="E83" s="49"/>
      <c r="F83" s="13" t="s">
        <v>327</v>
      </c>
      <c r="G83" s="23">
        <f>'Stavební rozpočet'!G83</f>
        <v>225</v>
      </c>
      <c r="H83" s="99">
        <f>'Stavební rozpočet'!H83</f>
        <v>0</v>
      </c>
      <c r="I83" s="99">
        <f t="shared" si="72"/>
        <v>0</v>
      </c>
      <c r="J83" s="99">
        <f t="shared" si="73"/>
        <v>0</v>
      </c>
      <c r="K83" s="99">
        <f t="shared" si="74"/>
        <v>0</v>
      </c>
      <c r="L83" s="100"/>
      <c r="Z83" s="101">
        <f t="shared" si="75"/>
        <v>0</v>
      </c>
      <c r="AB83" s="101">
        <f t="shared" si="76"/>
        <v>0</v>
      </c>
      <c r="AC83" s="101">
        <f t="shared" si="77"/>
        <v>0</v>
      </c>
      <c r="AD83" s="101">
        <f t="shared" si="78"/>
        <v>0</v>
      </c>
      <c r="AE83" s="101">
        <f t="shared" si="79"/>
        <v>0</v>
      </c>
      <c r="AF83" s="101">
        <f t="shared" si="80"/>
        <v>0</v>
      </c>
      <c r="AG83" s="101">
        <f t="shared" si="81"/>
        <v>0</v>
      </c>
      <c r="AH83" s="101">
        <f t="shared" si="82"/>
        <v>0</v>
      </c>
      <c r="AI83" s="93" t="s">
        <v>361</v>
      </c>
      <c r="AJ83" s="99">
        <f t="shared" si="83"/>
        <v>0</v>
      </c>
      <c r="AK83" s="99">
        <f t="shared" si="84"/>
        <v>0</v>
      </c>
      <c r="AL83" s="99">
        <f t="shared" si="85"/>
        <v>0</v>
      </c>
      <c r="AN83" s="101">
        <v>21</v>
      </c>
      <c r="AO83" s="101">
        <f>H83*0</f>
        <v>0</v>
      </c>
      <c r="AP83" s="101">
        <f>H83*(1-0)</f>
        <v>0</v>
      </c>
      <c r="AQ83" s="100" t="s">
        <v>57</v>
      </c>
      <c r="AV83" s="101">
        <f t="shared" si="86"/>
        <v>0</v>
      </c>
      <c r="AW83" s="101">
        <f t="shared" si="87"/>
        <v>0</v>
      </c>
      <c r="AX83" s="101">
        <f t="shared" si="88"/>
        <v>0</v>
      </c>
      <c r="AY83" s="102" t="s">
        <v>369</v>
      </c>
      <c r="AZ83" s="102" t="s">
        <v>377</v>
      </c>
      <c r="BA83" s="93" t="s">
        <v>394</v>
      </c>
      <c r="BC83" s="101">
        <f t="shared" si="89"/>
        <v>0</v>
      </c>
      <c r="BD83" s="101">
        <f t="shared" si="90"/>
        <v>0</v>
      </c>
      <c r="BE83" s="101">
        <v>0</v>
      </c>
      <c r="BF83" s="101">
        <f>83</f>
        <v>83</v>
      </c>
      <c r="BH83" s="99">
        <f t="shared" si="91"/>
        <v>0</v>
      </c>
      <c r="BI83" s="99">
        <f t="shared" si="92"/>
        <v>0</v>
      </c>
      <c r="BJ83" s="99">
        <f t="shared" si="93"/>
        <v>0</v>
      </c>
    </row>
    <row r="84" spans="1:62" ht="12.75">
      <c r="A84" s="13" t="s">
        <v>116</v>
      </c>
      <c r="B84" s="13" t="s">
        <v>202</v>
      </c>
      <c r="C84" s="48" t="s">
        <v>280</v>
      </c>
      <c r="D84" s="49"/>
      <c r="E84" s="49"/>
      <c r="F84" s="13" t="s">
        <v>323</v>
      </c>
      <c r="G84" s="23">
        <f>'Stavební rozpočet'!G84</f>
        <v>225</v>
      </c>
      <c r="H84" s="99">
        <f>'Stavební rozpočet'!H84</f>
        <v>0</v>
      </c>
      <c r="I84" s="99">
        <f t="shared" si="72"/>
        <v>0</v>
      </c>
      <c r="J84" s="99">
        <f t="shared" si="73"/>
        <v>0</v>
      </c>
      <c r="K84" s="99">
        <f t="shared" si="74"/>
        <v>0</v>
      </c>
      <c r="L84" s="100" t="s">
        <v>346</v>
      </c>
      <c r="Z84" s="101">
        <f t="shared" si="75"/>
        <v>0</v>
      </c>
      <c r="AB84" s="101">
        <f t="shared" si="76"/>
        <v>0</v>
      </c>
      <c r="AC84" s="101">
        <f t="shared" si="77"/>
        <v>0</v>
      </c>
      <c r="AD84" s="101">
        <f t="shared" si="78"/>
        <v>0</v>
      </c>
      <c r="AE84" s="101">
        <f t="shared" si="79"/>
        <v>0</v>
      </c>
      <c r="AF84" s="101">
        <f t="shared" si="80"/>
        <v>0</v>
      </c>
      <c r="AG84" s="101">
        <f t="shared" si="81"/>
        <v>0</v>
      </c>
      <c r="AH84" s="101">
        <f t="shared" si="82"/>
        <v>0</v>
      </c>
      <c r="AI84" s="93" t="s">
        <v>361</v>
      </c>
      <c r="AJ84" s="99">
        <f t="shared" si="83"/>
        <v>0</v>
      </c>
      <c r="AK84" s="99">
        <f t="shared" si="84"/>
        <v>0</v>
      </c>
      <c r="AL84" s="99">
        <f t="shared" si="85"/>
        <v>0</v>
      </c>
      <c r="AN84" s="101">
        <v>21</v>
      </c>
      <c r="AO84" s="101">
        <f>H84*0.152123947793452</f>
        <v>0</v>
      </c>
      <c r="AP84" s="101">
        <f>H84*(1-0.152123947793452)</f>
        <v>0</v>
      </c>
      <c r="AQ84" s="100" t="s">
        <v>57</v>
      </c>
      <c r="AV84" s="101">
        <f t="shared" si="86"/>
        <v>0</v>
      </c>
      <c r="AW84" s="101">
        <f t="shared" si="87"/>
        <v>0</v>
      </c>
      <c r="AX84" s="101">
        <f t="shared" si="88"/>
        <v>0</v>
      </c>
      <c r="AY84" s="102" t="s">
        <v>369</v>
      </c>
      <c r="AZ84" s="102" t="s">
        <v>377</v>
      </c>
      <c r="BA84" s="93" t="s">
        <v>394</v>
      </c>
      <c r="BC84" s="101">
        <f t="shared" si="89"/>
        <v>0</v>
      </c>
      <c r="BD84" s="101">
        <f t="shared" si="90"/>
        <v>0</v>
      </c>
      <c r="BE84" s="101">
        <v>0</v>
      </c>
      <c r="BF84" s="101">
        <f>84</f>
        <v>84</v>
      </c>
      <c r="BH84" s="99">
        <f t="shared" si="91"/>
        <v>0</v>
      </c>
      <c r="BI84" s="99">
        <f t="shared" si="92"/>
        <v>0</v>
      </c>
      <c r="BJ84" s="99">
        <f t="shared" si="93"/>
        <v>0</v>
      </c>
    </row>
    <row r="85" spans="1:62" ht="12.75">
      <c r="A85" s="13" t="s">
        <v>117</v>
      </c>
      <c r="B85" s="13" t="s">
        <v>203</v>
      </c>
      <c r="C85" s="48" t="s">
        <v>281</v>
      </c>
      <c r="D85" s="49"/>
      <c r="E85" s="49"/>
      <c r="F85" s="13" t="s">
        <v>323</v>
      </c>
      <c r="G85" s="23">
        <f>'Stavební rozpočet'!G85</f>
        <v>225</v>
      </c>
      <c r="H85" s="99">
        <f>'Stavební rozpočet'!H85</f>
        <v>0</v>
      </c>
      <c r="I85" s="99">
        <f t="shared" si="72"/>
        <v>0</v>
      </c>
      <c r="J85" s="99">
        <f t="shared" si="73"/>
        <v>0</v>
      </c>
      <c r="K85" s="99">
        <f t="shared" si="74"/>
        <v>0</v>
      </c>
      <c r="L85" s="100" t="s">
        <v>346</v>
      </c>
      <c r="Z85" s="101">
        <f t="shared" si="75"/>
        <v>0</v>
      </c>
      <c r="AB85" s="101">
        <f t="shared" si="76"/>
        <v>0</v>
      </c>
      <c r="AC85" s="101">
        <f t="shared" si="77"/>
        <v>0</v>
      </c>
      <c r="AD85" s="101">
        <f t="shared" si="78"/>
        <v>0</v>
      </c>
      <c r="AE85" s="101">
        <f t="shared" si="79"/>
        <v>0</v>
      </c>
      <c r="AF85" s="101">
        <f t="shared" si="80"/>
        <v>0</v>
      </c>
      <c r="AG85" s="101">
        <f t="shared" si="81"/>
        <v>0</v>
      </c>
      <c r="AH85" s="101">
        <f t="shared" si="82"/>
        <v>0</v>
      </c>
      <c r="AI85" s="93" t="s">
        <v>361</v>
      </c>
      <c r="AJ85" s="99">
        <f t="shared" si="83"/>
        <v>0</v>
      </c>
      <c r="AK85" s="99">
        <f t="shared" si="84"/>
        <v>0</v>
      </c>
      <c r="AL85" s="99">
        <f t="shared" si="85"/>
        <v>0</v>
      </c>
      <c r="AN85" s="101">
        <v>21</v>
      </c>
      <c r="AO85" s="101">
        <f>H85*0.508374643927343</f>
        <v>0</v>
      </c>
      <c r="AP85" s="101">
        <f>H85*(1-0.508374643927343)</f>
        <v>0</v>
      </c>
      <c r="AQ85" s="100" t="s">
        <v>57</v>
      </c>
      <c r="AV85" s="101">
        <f t="shared" si="86"/>
        <v>0</v>
      </c>
      <c r="AW85" s="101">
        <f t="shared" si="87"/>
        <v>0</v>
      </c>
      <c r="AX85" s="101">
        <f t="shared" si="88"/>
        <v>0</v>
      </c>
      <c r="AY85" s="102" t="s">
        <v>369</v>
      </c>
      <c r="AZ85" s="102" t="s">
        <v>377</v>
      </c>
      <c r="BA85" s="93" t="s">
        <v>394</v>
      </c>
      <c r="BC85" s="101">
        <f t="shared" si="89"/>
        <v>0</v>
      </c>
      <c r="BD85" s="101">
        <f t="shared" si="90"/>
        <v>0</v>
      </c>
      <c r="BE85" s="101">
        <v>0</v>
      </c>
      <c r="BF85" s="101">
        <f>85</f>
        <v>85</v>
      </c>
      <c r="BH85" s="99">
        <f t="shared" si="91"/>
        <v>0</v>
      </c>
      <c r="BI85" s="99">
        <f t="shared" si="92"/>
        <v>0</v>
      </c>
      <c r="BJ85" s="99">
        <f t="shared" si="93"/>
        <v>0</v>
      </c>
    </row>
    <row r="86" spans="1:62" ht="12.75">
      <c r="A86" s="13" t="s">
        <v>118</v>
      </c>
      <c r="B86" s="13" t="s">
        <v>204</v>
      </c>
      <c r="C86" s="48" t="s">
        <v>282</v>
      </c>
      <c r="D86" s="49"/>
      <c r="E86" s="49"/>
      <c r="F86" s="13" t="s">
        <v>324</v>
      </c>
      <c r="G86" s="23">
        <f>'Stavební rozpočet'!G86</f>
        <v>18</v>
      </c>
      <c r="H86" s="99">
        <f>'Stavební rozpočet'!H86</f>
        <v>0</v>
      </c>
      <c r="I86" s="99">
        <f t="shared" si="72"/>
        <v>0</v>
      </c>
      <c r="J86" s="99">
        <f t="shared" si="73"/>
        <v>0</v>
      </c>
      <c r="K86" s="99">
        <f t="shared" si="74"/>
        <v>0</v>
      </c>
      <c r="L86" s="100" t="s">
        <v>346</v>
      </c>
      <c r="Z86" s="101">
        <f t="shared" si="75"/>
        <v>0</v>
      </c>
      <c r="AB86" s="101">
        <f t="shared" si="76"/>
        <v>0</v>
      </c>
      <c r="AC86" s="101">
        <f t="shared" si="77"/>
        <v>0</v>
      </c>
      <c r="AD86" s="101">
        <f t="shared" si="78"/>
        <v>0</v>
      </c>
      <c r="AE86" s="101">
        <f t="shared" si="79"/>
        <v>0</v>
      </c>
      <c r="AF86" s="101">
        <f t="shared" si="80"/>
        <v>0</v>
      </c>
      <c r="AG86" s="101">
        <f t="shared" si="81"/>
        <v>0</v>
      </c>
      <c r="AH86" s="101">
        <f t="shared" si="82"/>
        <v>0</v>
      </c>
      <c r="AI86" s="93" t="s">
        <v>361</v>
      </c>
      <c r="AJ86" s="99">
        <f t="shared" si="83"/>
        <v>0</v>
      </c>
      <c r="AK86" s="99">
        <f t="shared" si="84"/>
        <v>0</v>
      </c>
      <c r="AL86" s="99">
        <f t="shared" si="85"/>
        <v>0</v>
      </c>
      <c r="AN86" s="101">
        <v>21</v>
      </c>
      <c r="AO86" s="101">
        <f>H86*0</f>
        <v>0</v>
      </c>
      <c r="AP86" s="101">
        <f>H86*(1-0)</f>
        <v>0</v>
      </c>
      <c r="AQ86" s="100" t="s">
        <v>57</v>
      </c>
      <c r="AV86" s="101">
        <f t="shared" si="86"/>
        <v>0</v>
      </c>
      <c r="AW86" s="101">
        <f t="shared" si="87"/>
        <v>0</v>
      </c>
      <c r="AX86" s="101">
        <f t="shared" si="88"/>
        <v>0</v>
      </c>
      <c r="AY86" s="102" t="s">
        <v>369</v>
      </c>
      <c r="AZ86" s="102" t="s">
        <v>377</v>
      </c>
      <c r="BA86" s="93" t="s">
        <v>394</v>
      </c>
      <c r="BC86" s="101">
        <f t="shared" si="89"/>
        <v>0</v>
      </c>
      <c r="BD86" s="101">
        <f t="shared" si="90"/>
        <v>0</v>
      </c>
      <c r="BE86" s="101">
        <v>0</v>
      </c>
      <c r="BF86" s="101">
        <f>86</f>
        <v>86</v>
      </c>
      <c r="BH86" s="99">
        <f t="shared" si="91"/>
        <v>0</v>
      </c>
      <c r="BI86" s="99">
        <f t="shared" si="92"/>
        <v>0</v>
      </c>
      <c r="BJ86" s="99">
        <f t="shared" si="93"/>
        <v>0</v>
      </c>
    </row>
    <row r="87" spans="1:47" ht="12.75">
      <c r="A87" s="12"/>
      <c r="B87" s="20" t="s">
        <v>205</v>
      </c>
      <c r="C87" s="46" t="s">
        <v>283</v>
      </c>
      <c r="D87" s="47"/>
      <c r="E87" s="47"/>
      <c r="F87" s="12" t="s">
        <v>56</v>
      </c>
      <c r="G87" s="12" t="s">
        <v>56</v>
      </c>
      <c r="H87" s="97" t="s">
        <v>56</v>
      </c>
      <c r="I87" s="98">
        <f>SUM(I88:I88)</f>
        <v>0</v>
      </c>
      <c r="J87" s="98">
        <f>SUM(J88:J88)</f>
        <v>0</v>
      </c>
      <c r="K87" s="98">
        <f>SUM(K88:K88)</f>
        <v>0</v>
      </c>
      <c r="L87" s="93"/>
      <c r="AI87" s="93" t="s">
        <v>361</v>
      </c>
      <c r="AS87" s="98">
        <f>SUM(AJ88:AJ88)</f>
        <v>0</v>
      </c>
      <c r="AT87" s="98">
        <f>SUM(AK88:AK88)</f>
        <v>0</v>
      </c>
      <c r="AU87" s="98">
        <f>SUM(AL88:AL88)</f>
        <v>0</v>
      </c>
    </row>
    <row r="88" spans="1:62" ht="12.75">
      <c r="A88" s="13" t="s">
        <v>119</v>
      </c>
      <c r="B88" s="13" t="s">
        <v>206</v>
      </c>
      <c r="C88" s="48" t="s">
        <v>284</v>
      </c>
      <c r="D88" s="49"/>
      <c r="E88" s="49"/>
      <c r="F88" s="13" t="s">
        <v>328</v>
      </c>
      <c r="G88" s="23">
        <f>'Stavební rozpočet'!G88</f>
        <v>11.7</v>
      </c>
      <c r="H88" s="99">
        <f>'Stavební rozpočet'!H88</f>
        <v>0</v>
      </c>
      <c r="I88" s="99">
        <f>G88*AO88</f>
        <v>0</v>
      </c>
      <c r="J88" s="99">
        <f>G88*AP88</f>
        <v>0</v>
      </c>
      <c r="K88" s="99">
        <f>G88*H88</f>
        <v>0</v>
      </c>
      <c r="L88" s="100" t="s">
        <v>346</v>
      </c>
      <c r="Z88" s="101">
        <f>IF(AQ88="5",BJ88,0)</f>
        <v>0</v>
      </c>
      <c r="AB88" s="101">
        <f>IF(AQ88="1",BH88,0)</f>
        <v>0</v>
      </c>
      <c r="AC88" s="101">
        <f>IF(AQ88="1",BI88,0)</f>
        <v>0</v>
      </c>
      <c r="AD88" s="101">
        <f>IF(AQ88="7",BH88,0)</f>
        <v>0</v>
      </c>
      <c r="AE88" s="101">
        <f>IF(AQ88="7",BI88,0)</f>
        <v>0</v>
      </c>
      <c r="AF88" s="101">
        <f>IF(AQ88="2",BH88,0)</f>
        <v>0</v>
      </c>
      <c r="AG88" s="101">
        <f>IF(AQ88="2",BI88,0)</f>
        <v>0</v>
      </c>
      <c r="AH88" s="101">
        <f>IF(AQ88="0",BJ88,0)</f>
        <v>0</v>
      </c>
      <c r="AI88" s="93" t="s">
        <v>361</v>
      </c>
      <c r="AJ88" s="99">
        <f>IF(AN88=0,K88,0)</f>
        <v>0</v>
      </c>
      <c r="AK88" s="99">
        <f>IF(AN88=15,K88,0)</f>
        <v>0</v>
      </c>
      <c r="AL88" s="99">
        <f>IF(AN88=21,K88,0)</f>
        <v>0</v>
      </c>
      <c r="AN88" s="101">
        <v>21</v>
      </c>
      <c r="AO88" s="101">
        <f>H88*0</f>
        <v>0</v>
      </c>
      <c r="AP88" s="101">
        <f>H88*(1-0)</f>
        <v>0</v>
      </c>
      <c r="AQ88" s="100" t="s">
        <v>61</v>
      </c>
      <c r="AV88" s="101">
        <f>AW88+AX88</f>
        <v>0</v>
      </c>
      <c r="AW88" s="101">
        <f>G88*AO88</f>
        <v>0</v>
      </c>
      <c r="AX88" s="101">
        <f>G88*AP88</f>
        <v>0</v>
      </c>
      <c r="AY88" s="102" t="s">
        <v>370</v>
      </c>
      <c r="AZ88" s="102" t="s">
        <v>378</v>
      </c>
      <c r="BA88" s="93" t="s">
        <v>394</v>
      </c>
      <c r="BC88" s="101">
        <f>AW88+AX88</f>
        <v>0</v>
      </c>
      <c r="BD88" s="101">
        <f>H88/(100-BE88)*100</f>
        <v>0</v>
      </c>
      <c r="BE88" s="101">
        <v>0</v>
      </c>
      <c r="BF88" s="101">
        <f>88</f>
        <v>88</v>
      </c>
      <c r="BH88" s="99">
        <f>G88*AO88</f>
        <v>0</v>
      </c>
      <c r="BI88" s="99">
        <f>G88*AP88</f>
        <v>0</v>
      </c>
      <c r="BJ88" s="99">
        <f>G88*H88</f>
        <v>0</v>
      </c>
    </row>
    <row r="89" spans="1:12" ht="12.75">
      <c r="A89" s="14"/>
      <c r="B89" s="21"/>
      <c r="C89" s="50" t="s">
        <v>292</v>
      </c>
      <c r="D89" s="51"/>
      <c r="E89" s="51"/>
      <c r="F89" s="14" t="s">
        <v>56</v>
      </c>
      <c r="G89" s="14" t="s">
        <v>56</v>
      </c>
      <c r="H89" s="103" t="s">
        <v>56</v>
      </c>
      <c r="I89" s="104">
        <f>I90+I92+I99</f>
        <v>0</v>
      </c>
      <c r="J89" s="104">
        <f>J90+J92+J99</f>
        <v>0</v>
      </c>
      <c r="K89" s="104">
        <f>K90+K92+K99</f>
        <v>0</v>
      </c>
      <c r="L89" s="105"/>
    </row>
    <row r="90" spans="1:47" ht="12.75">
      <c r="A90" s="12"/>
      <c r="B90" s="20" t="s">
        <v>197</v>
      </c>
      <c r="C90" s="46" t="s">
        <v>274</v>
      </c>
      <c r="D90" s="47"/>
      <c r="E90" s="47"/>
      <c r="F90" s="12" t="s">
        <v>56</v>
      </c>
      <c r="G90" s="12" t="s">
        <v>56</v>
      </c>
      <c r="H90" s="97" t="s">
        <v>56</v>
      </c>
      <c r="I90" s="98">
        <f>SUM(I91:I91)</f>
        <v>0</v>
      </c>
      <c r="J90" s="98">
        <f>SUM(J91:J91)</f>
        <v>0</v>
      </c>
      <c r="K90" s="98">
        <f>SUM(K91:K91)</f>
        <v>0</v>
      </c>
      <c r="L90" s="93"/>
      <c r="AI90" s="93" t="s">
        <v>362</v>
      </c>
      <c r="AS90" s="98">
        <f>SUM(AJ91:AJ91)</f>
        <v>0</v>
      </c>
      <c r="AT90" s="98">
        <f>SUM(AK91:AK91)</f>
        <v>0</v>
      </c>
      <c r="AU90" s="98">
        <f>SUM(AL91:AL91)</f>
        <v>0</v>
      </c>
    </row>
    <row r="91" spans="1:62" ht="12.75">
      <c r="A91" s="13" t="s">
        <v>120</v>
      </c>
      <c r="B91" s="13" t="s">
        <v>198</v>
      </c>
      <c r="C91" s="48" t="s">
        <v>275</v>
      </c>
      <c r="D91" s="49"/>
      <c r="E91" s="49"/>
      <c r="F91" s="13" t="s">
        <v>326</v>
      </c>
      <c r="G91" s="23">
        <f>'Stavební rozpočet'!G99</f>
        <v>279</v>
      </c>
      <c r="H91" s="99">
        <f>'Stavební rozpočet'!H99</f>
        <v>0</v>
      </c>
      <c r="I91" s="99">
        <f>G91*AO91</f>
        <v>0</v>
      </c>
      <c r="J91" s="99">
        <f>G91*AP91</f>
        <v>0</v>
      </c>
      <c r="K91" s="99">
        <f>G91*H91</f>
        <v>0</v>
      </c>
      <c r="L91" s="100"/>
      <c r="Z91" s="101">
        <f>IF(AQ91="5",BJ91,0)</f>
        <v>0</v>
      </c>
      <c r="AB91" s="101">
        <f>IF(AQ91="1",BH91,0)</f>
        <v>0</v>
      </c>
      <c r="AC91" s="101">
        <f>IF(AQ91="1",BI91,0)</f>
        <v>0</v>
      </c>
      <c r="AD91" s="101">
        <f>IF(AQ91="7",BH91,0)</f>
        <v>0</v>
      </c>
      <c r="AE91" s="101">
        <f>IF(AQ91="7",BI91,0)</f>
        <v>0</v>
      </c>
      <c r="AF91" s="101">
        <f>IF(AQ91="2",BH91,0)</f>
        <v>0</v>
      </c>
      <c r="AG91" s="101">
        <f>IF(AQ91="2",BI91,0)</f>
        <v>0</v>
      </c>
      <c r="AH91" s="101">
        <f>IF(AQ91="0",BJ91,0)</f>
        <v>0</v>
      </c>
      <c r="AI91" s="93" t="s">
        <v>362</v>
      </c>
      <c r="AJ91" s="99">
        <f>IF(AN91=0,K91,0)</f>
        <v>0</v>
      </c>
      <c r="AK91" s="99">
        <f>IF(AN91=15,K91,0)</f>
        <v>0</v>
      </c>
      <c r="AL91" s="99">
        <f>IF(AN91=21,K91,0)</f>
        <v>0</v>
      </c>
      <c r="AN91" s="101">
        <v>21</v>
      </c>
      <c r="AO91" s="101">
        <f>H91*0</f>
        <v>0</v>
      </c>
      <c r="AP91" s="101">
        <f>H91*(1-0)</f>
        <v>0</v>
      </c>
      <c r="AQ91" s="100" t="s">
        <v>57</v>
      </c>
      <c r="AV91" s="101">
        <f>AW91+AX91</f>
        <v>0</v>
      </c>
      <c r="AW91" s="101">
        <f>G91*AO91</f>
        <v>0</v>
      </c>
      <c r="AX91" s="101">
        <f>G91*AP91</f>
        <v>0</v>
      </c>
      <c r="AY91" s="102" t="s">
        <v>368</v>
      </c>
      <c r="AZ91" s="102" t="s">
        <v>380</v>
      </c>
      <c r="BA91" s="93" t="s">
        <v>395</v>
      </c>
      <c r="BC91" s="101">
        <f>AW91+AX91</f>
        <v>0</v>
      </c>
      <c r="BD91" s="101">
        <f>H91/(100-BE91)*100</f>
        <v>0</v>
      </c>
      <c r="BE91" s="101">
        <v>0</v>
      </c>
      <c r="BF91" s="101">
        <f>91</f>
        <v>91</v>
      </c>
      <c r="BH91" s="99">
        <f>G91*AO91</f>
        <v>0</v>
      </c>
      <c r="BI91" s="99">
        <f>G91*AP91</f>
        <v>0</v>
      </c>
      <c r="BJ91" s="99">
        <f>G91*H91</f>
        <v>0</v>
      </c>
    </row>
    <row r="92" spans="1:47" ht="12.75">
      <c r="A92" s="12"/>
      <c r="B92" s="20" t="s">
        <v>74</v>
      </c>
      <c r="C92" s="46" t="s">
        <v>276</v>
      </c>
      <c r="D92" s="47"/>
      <c r="E92" s="47"/>
      <c r="F92" s="12" t="s">
        <v>56</v>
      </c>
      <c r="G92" s="12" t="s">
        <v>56</v>
      </c>
      <c r="H92" s="97" t="s">
        <v>56</v>
      </c>
      <c r="I92" s="98">
        <f>SUM(I93:I98)</f>
        <v>0</v>
      </c>
      <c r="J92" s="98">
        <f>SUM(J93:J98)</f>
        <v>0</v>
      </c>
      <c r="K92" s="98">
        <f>SUM(K93:K98)</f>
        <v>0</v>
      </c>
      <c r="L92" s="93"/>
      <c r="AI92" s="93" t="s">
        <v>362</v>
      </c>
      <c r="AS92" s="98">
        <f>SUM(AJ93:AJ98)</f>
        <v>0</v>
      </c>
      <c r="AT92" s="98">
        <f>SUM(AK93:AK98)</f>
        <v>0</v>
      </c>
      <c r="AU92" s="98">
        <f>SUM(AL93:AL98)</f>
        <v>0</v>
      </c>
    </row>
    <row r="93" spans="1:62" ht="12.75">
      <c r="A93" s="13" t="s">
        <v>121</v>
      </c>
      <c r="B93" s="13" t="s">
        <v>199</v>
      </c>
      <c r="C93" s="48" t="s">
        <v>277</v>
      </c>
      <c r="D93" s="49"/>
      <c r="E93" s="49"/>
      <c r="F93" s="13" t="s">
        <v>323</v>
      </c>
      <c r="G93" s="23">
        <f>'Stavební rozpočet'!G101</f>
        <v>279</v>
      </c>
      <c r="H93" s="99">
        <f>'Stavební rozpočet'!H101</f>
        <v>0</v>
      </c>
      <c r="I93" s="99">
        <f aca="true" t="shared" si="94" ref="I93:I98">G93*AO93</f>
        <v>0</v>
      </c>
      <c r="J93" s="99">
        <f aca="true" t="shared" si="95" ref="J93:J98">G93*AP93</f>
        <v>0</v>
      </c>
      <c r="K93" s="99">
        <f aca="true" t="shared" si="96" ref="K93:K98">G93*H93</f>
        <v>0</v>
      </c>
      <c r="L93" s="100" t="s">
        <v>346</v>
      </c>
      <c r="Z93" s="101">
        <f aca="true" t="shared" si="97" ref="Z93:Z98">IF(AQ93="5",BJ93,0)</f>
        <v>0</v>
      </c>
      <c r="AB93" s="101">
        <f aca="true" t="shared" si="98" ref="AB93:AB98">IF(AQ93="1",BH93,0)</f>
        <v>0</v>
      </c>
      <c r="AC93" s="101">
        <f aca="true" t="shared" si="99" ref="AC93:AC98">IF(AQ93="1",BI93,0)</f>
        <v>0</v>
      </c>
      <c r="AD93" s="101">
        <f aca="true" t="shared" si="100" ref="AD93:AD98">IF(AQ93="7",BH93,0)</f>
        <v>0</v>
      </c>
      <c r="AE93" s="101">
        <f aca="true" t="shared" si="101" ref="AE93:AE98">IF(AQ93="7",BI93,0)</f>
        <v>0</v>
      </c>
      <c r="AF93" s="101">
        <f aca="true" t="shared" si="102" ref="AF93:AF98">IF(AQ93="2",BH93,0)</f>
        <v>0</v>
      </c>
      <c r="AG93" s="101">
        <f aca="true" t="shared" si="103" ref="AG93:AG98">IF(AQ93="2",BI93,0)</f>
        <v>0</v>
      </c>
      <c r="AH93" s="101">
        <f aca="true" t="shared" si="104" ref="AH93:AH98">IF(AQ93="0",BJ93,0)</f>
        <v>0</v>
      </c>
      <c r="AI93" s="93" t="s">
        <v>362</v>
      </c>
      <c r="AJ93" s="99">
        <f aca="true" t="shared" si="105" ref="AJ93:AJ98">IF(AN93=0,K93,0)</f>
        <v>0</v>
      </c>
      <c r="AK93" s="99">
        <f aca="true" t="shared" si="106" ref="AK93:AK98">IF(AN93=15,K93,0)</f>
        <v>0</v>
      </c>
      <c r="AL93" s="99">
        <f aca="true" t="shared" si="107" ref="AL93:AL98">IF(AN93=21,K93,0)</f>
        <v>0</v>
      </c>
      <c r="AN93" s="101">
        <v>21</v>
      </c>
      <c r="AO93" s="101">
        <f>H93*0</f>
        <v>0</v>
      </c>
      <c r="AP93" s="101">
        <f>H93*(1-0)</f>
        <v>0</v>
      </c>
      <c r="AQ93" s="100" t="s">
        <v>57</v>
      </c>
      <c r="AV93" s="101">
        <f aca="true" t="shared" si="108" ref="AV93:AV98">AW93+AX93</f>
        <v>0</v>
      </c>
      <c r="AW93" s="101">
        <f aca="true" t="shared" si="109" ref="AW93:AW98">G93*AO93</f>
        <v>0</v>
      </c>
      <c r="AX93" s="101">
        <f aca="true" t="shared" si="110" ref="AX93:AX98">G93*AP93</f>
        <v>0</v>
      </c>
      <c r="AY93" s="102" t="s">
        <v>369</v>
      </c>
      <c r="AZ93" s="102" t="s">
        <v>380</v>
      </c>
      <c r="BA93" s="93" t="s">
        <v>395</v>
      </c>
      <c r="BC93" s="101">
        <f aca="true" t="shared" si="111" ref="BC93:BC98">AW93+AX93</f>
        <v>0</v>
      </c>
      <c r="BD93" s="101">
        <f aca="true" t="shared" si="112" ref="BD93:BD98">H93/(100-BE93)*100</f>
        <v>0</v>
      </c>
      <c r="BE93" s="101">
        <v>0</v>
      </c>
      <c r="BF93" s="101">
        <f>93</f>
        <v>93</v>
      </c>
      <c r="BH93" s="99">
        <f aca="true" t="shared" si="113" ref="BH93:BH98">G93*AO93</f>
        <v>0</v>
      </c>
      <c r="BI93" s="99">
        <f aca="true" t="shared" si="114" ref="BI93:BI98">G93*AP93</f>
        <v>0</v>
      </c>
      <c r="BJ93" s="99">
        <f aca="true" t="shared" si="115" ref="BJ93:BJ98">G93*H93</f>
        <v>0</v>
      </c>
    </row>
    <row r="94" spans="1:62" ht="12.75">
      <c r="A94" s="13" t="s">
        <v>122</v>
      </c>
      <c r="B94" s="13" t="s">
        <v>214</v>
      </c>
      <c r="C94" s="48" t="s">
        <v>293</v>
      </c>
      <c r="D94" s="49"/>
      <c r="E94" s="49"/>
      <c r="F94" s="13" t="s">
        <v>323</v>
      </c>
      <c r="G94" s="23">
        <f>'Stavební rozpočet'!G102</f>
        <v>279</v>
      </c>
      <c r="H94" s="99">
        <f>'Stavební rozpočet'!H102</f>
        <v>0</v>
      </c>
      <c r="I94" s="99">
        <f t="shared" si="94"/>
        <v>0</v>
      </c>
      <c r="J94" s="99">
        <f t="shared" si="95"/>
        <v>0</v>
      </c>
      <c r="K94" s="99">
        <f t="shared" si="96"/>
        <v>0</v>
      </c>
      <c r="L94" s="100" t="s">
        <v>346</v>
      </c>
      <c r="Z94" s="101">
        <f t="shared" si="97"/>
        <v>0</v>
      </c>
      <c r="AB94" s="101">
        <f t="shared" si="98"/>
        <v>0</v>
      </c>
      <c r="AC94" s="101">
        <f t="shared" si="99"/>
        <v>0</v>
      </c>
      <c r="AD94" s="101">
        <f t="shared" si="100"/>
        <v>0</v>
      </c>
      <c r="AE94" s="101">
        <f t="shared" si="101"/>
        <v>0</v>
      </c>
      <c r="AF94" s="101">
        <f t="shared" si="102"/>
        <v>0</v>
      </c>
      <c r="AG94" s="101">
        <f t="shared" si="103"/>
        <v>0</v>
      </c>
      <c r="AH94" s="101">
        <f t="shared" si="104"/>
        <v>0</v>
      </c>
      <c r="AI94" s="93" t="s">
        <v>362</v>
      </c>
      <c r="AJ94" s="99">
        <f t="shared" si="105"/>
        <v>0</v>
      </c>
      <c r="AK94" s="99">
        <f t="shared" si="106"/>
        <v>0</v>
      </c>
      <c r="AL94" s="99">
        <f t="shared" si="107"/>
        <v>0</v>
      </c>
      <c r="AN94" s="101">
        <v>21</v>
      </c>
      <c r="AO94" s="101">
        <f>H94*0.00873563218390804</f>
        <v>0</v>
      </c>
      <c r="AP94" s="101">
        <f>H94*(1-0.00873563218390804)</f>
        <v>0</v>
      </c>
      <c r="AQ94" s="100" t="s">
        <v>57</v>
      </c>
      <c r="AV94" s="101">
        <f t="shared" si="108"/>
        <v>0</v>
      </c>
      <c r="AW94" s="101">
        <f t="shared" si="109"/>
        <v>0</v>
      </c>
      <c r="AX94" s="101">
        <f t="shared" si="110"/>
        <v>0</v>
      </c>
      <c r="AY94" s="102" t="s">
        <v>369</v>
      </c>
      <c r="AZ94" s="102" t="s">
        <v>380</v>
      </c>
      <c r="BA94" s="93" t="s">
        <v>395</v>
      </c>
      <c r="BC94" s="101">
        <f t="shared" si="111"/>
        <v>0</v>
      </c>
      <c r="BD94" s="101">
        <f t="shared" si="112"/>
        <v>0</v>
      </c>
      <c r="BE94" s="101">
        <v>0</v>
      </c>
      <c r="BF94" s="101">
        <f>94</f>
        <v>94</v>
      </c>
      <c r="BH94" s="99">
        <f t="shared" si="113"/>
        <v>0</v>
      </c>
      <c r="BI94" s="99">
        <f t="shared" si="114"/>
        <v>0</v>
      </c>
      <c r="BJ94" s="99">
        <f t="shared" si="115"/>
        <v>0</v>
      </c>
    </row>
    <row r="95" spans="1:62" ht="12.75">
      <c r="A95" s="13" t="s">
        <v>123</v>
      </c>
      <c r="B95" s="13" t="s">
        <v>201</v>
      </c>
      <c r="C95" s="48" t="s">
        <v>279</v>
      </c>
      <c r="D95" s="49"/>
      <c r="E95" s="49"/>
      <c r="F95" s="13" t="s">
        <v>327</v>
      </c>
      <c r="G95" s="23">
        <f>'Stavební rozpočet'!G103</f>
        <v>279</v>
      </c>
      <c r="H95" s="99">
        <f>'Stavební rozpočet'!H103</f>
        <v>0</v>
      </c>
      <c r="I95" s="99">
        <f t="shared" si="94"/>
        <v>0</v>
      </c>
      <c r="J95" s="99">
        <f t="shared" si="95"/>
        <v>0</v>
      </c>
      <c r="K95" s="99">
        <f t="shared" si="96"/>
        <v>0</v>
      </c>
      <c r="L95" s="100"/>
      <c r="Z95" s="101">
        <f t="shared" si="97"/>
        <v>0</v>
      </c>
      <c r="AB95" s="101">
        <f t="shared" si="98"/>
        <v>0</v>
      </c>
      <c r="AC95" s="101">
        <f t="shared" si="99"/>
        <v>0</v>
      </c>
      <c r="AD95" s="101">
        <f t="shared" si="100"/>
        <v>0</v>
      </c>
      <c r="AE95" s="101">
        <f t="shared" si="101"/>
        <v>0</v>
      </c>
      <c r="AF95" s="101">
        <f t="shared" si="102"/>
        <v>0</v>
      </c>
      <c r="AG95" s="101">
        <f t="shared" si="103"/>
        <v>0</v>
      </c>
      <c r="AH95" s="101">
        <f t="shared" si="104"/>
        <v>0</v>
      </c>
      <c r="AI95" s="93" t="s">
        <v>362</v>
      </c>
      <c r="AJ95" s="99">
        <f t="shared" si="105"/>
        <v>0</v>
      </c>
      <c r="AK95" s="99">
        <f t="shared" si="106"/>
        <v>0</v>
      </c>
      <c r="AL95" s="99">
        <f t="shared" si="107"/>
        <v>0</v>
      </c>
      <c r="AN95" s="101">
        <v>21</v>
      </c>
      <c r="AO95" s="101">
        <f>H95*0</f>
        <v>0</v>
      </c>
      <c r="AP95" s="101">
        <f>H95*(1-0)</f>
        <v>0</v>
      </c>
      <c r="AQ95" s="100" t="s">
        <v>57</v>
      </c>
      <c r="AV95" s="101">
        <f t="shared" si="108"/>
        <v>0</v>
      </c>
      <c r="AW95" s="101">
        <f t="shared" si="109"/>
        <v>0</v>
      </c>
      <c r="AX95" s="101">
        <f t="shared" si="110"/>
        <v>0</v>
      </c>
      <c r="AY95" s="102" t="s">
        <v>369</v>
      </c>
      <c r="AZ95" s="102" t="s">
        <v>380</v>
      </c>
      <c r="BA95" s="93" t="s">
        <v>395</v>
      </c>
      <c r="BC95" s="101">
        <f t="shared" si="111"/>
        <v>0</v>
      </c>
      <c r="BD95" s="101">
        <f t="shared" si="112"/>
        <v>0</v>
      </c>
      <c r="BE95" s="101">
        <v>0</v>
      </c>
      <c r="BF95" s="101">
        <f>95</f>
        <v>95</v>
      </c>
      <c r="BH95" s="99">
        <f t="shared" si="113"/>
        <v>0</v>
      </c>
      <c r="BI95" s="99">
        <f t="shared" si="114"/>
        <v>0</v>
      </c>
      <c r="BJ95" s="99">
        <f t="shared" si="115"/>
        <v>0</v>
      </c>
    </row>
    <row r="96" spans="1:62" ht="12.75">
      <c r="A96" s="13" t="s">
        <v>124</v>
      </c>
      <c r="B96" s="13" t="s">
        <v>202</v>
      </c>
      <c r="C96" s="48" t="s">
        <v>294</v>
      </c>
      <c r="D96" s="49"/>
      <c r="E96" s="49"/>
      <c r="F96" s="13" t="s">
        <v>323</v>
      </c>
      <c r="G96" s="23">
        <f>'Stavební rozpočet'!G104</f>
        <v>279</v>
      </c>
      <c r="H96" s="99">
        <f>'Stavební rozpočet'!H104</f>
        <v>0</v>
      </c>
      <c r="I96" s="99">
        <f t="shared" si="94"/>
        <v>0</v>
      </c>
      <c r="J96" s="99">
        <f t="shared" si="95"/>
        <v>0</v>
      </c>
      <c r="K96" s="99">
        <f t="shared" si="96"/>
        <v>0</v>
      </c>
      <c r="L96" s="100" t="s">
        <v>346</v>
      </c>
      <c r="Z96" s="101">
        <f t="shared" si="97"/>
        <v>0</v>
      </c>
      <c r="AB96" s="101">
        <f t="shared" si="98"/>
        <v>0</v>
      </c>
      <c r="AC96" s="101">
        <f t="shared" si="99"/>
        <v>0</v>
      </c>
      <c r="AD96" s="101">
        <f t="shared" si="100"/>
        <v>0</v>
      </c>
      <c r="AE96" s="101">
        <f t="shared" si="101"/>
        <v>0</v>
      </c>
      <c r="AF96" s="101">
        <f t="shared" si="102"/>
        <v>0</v>
      </c>
      <c r="AG96" s="101">
        <f t="shared" si="103"/>
        <v>0</v>
      </c>
      <c r="AH96" s="101">
        <f t="shared" si="104"/>
        <v>0</v>
      </c>
      <c r="AI96" s="93" t="s">
        <v>362</v>
      </c>
      <c r="AJ96" s="99">
        <f t="shared" si="105"/>
        <v>0</v>
      </c>
      <c r="AK96" s="99">
        <f t="shared" si="106"/>
        <v>0</v>
      </c>
      <c r="AL96" s="99">
        <f t="shared" si="107"/>
        <v>0</v>
      </c>
      <c r="AN96" s="101">
        <v>21</v>
      </c>
      <c r="AO96" s="101">
        <f>H96*0.152123959021697</f>
        <v>0</v>
      </c>
      <c r="AP96" s="101">
        <f>H96*(1-0.152123959021697)</f>
        <v>0</v>
      </c>
      <c r="AQ96" s="100" t="s">
        <v>57</v>
      </c>
      <c r="AV96" s="101">
        <f t="shared" si="108"/>
        <v>0</v>
      </c>
      <c r="AW96" s="101">
        <f t="shared" si="109"/>
        <v>0</v>
      </c>
      <c r="AX96" s="101">
        <f t="shared" si="110"/>
        <v>0</v>
      </c>
      <c r="AY96" s="102" t="s">
        <v>369</v>
      </c>
      <c r="AZ96" s="102" t="s">
        <v>380</v>
      </c>
      <c r="BA96" s="93" t="s">
        <v>395</v>
      </c>
      <c r="BC96" s="101">
        <f t="shared" si="111"/>
        <v>0</v>
      </c>
      <c r="BD96" s="101">
        <f t="shared" si="112"/>
        <v>0</v>
      </c>
      <c r="BE96" s="101">
        <v>0</v>
      </c>
      <c r="BF96" s="101">
        <f>96</f>
        <v>96</v>
      </c>
      <c r="BH96" s="99">
        <f t="shared" si="113"/>
        <v>0</v>
      </c>
      <c r="BI96" s="99">
        <f t="shared" si="114"/>
        <v>0</v>
      </c>
      <c r="BJ96" s="99">
        <f t="shared" si="115"/>
        <v>0</v>
      </c>
    </row>
    <row r="97" spans="1:62" ht="12.75">
      <c r="A97" s="13" t="s">
        <v>125</v>
      </c>
      <c r="B97" s="13" t="s">
        <v>203</v>
      </c>
      <c r="C97" s="48" t="s">
        <v>281</v>
      </c>
      <c r="D97" s="49"/>
      <c r="E97" s="49"/>
      <c r="F97" s="13" t="s">
        <v>323</v>
      </c>
      <c r="G97" s="23">
        <f>'Stavební rozpočet'!G105</f>
        <v>279</v>
      </c>
      <c r="H97" s="99">
        <f>'Stavební rozpočet'!H105</f>
        <v>0</v>
      </c>
      <c r="I97" s="99">
        <f t="shared" si="94"/>
        <v>0</v>
      </c>
      <c r="J97" s="99">
        <f t="shared" si="95"/>
        <v>0</v>
      </c>
      <c r="K97" s="99">
        <f t="shared" si="96"/>
        <v>0</v>
      </c>
      <c r="L97" s="100" t="s">
        <v>346</v>
      </c>
      <c r="Z97" s="101">
        <f t="shared" si="97"/>
        <v>0</v>
      </c>
      <c r="AB97" s="101">
        <f t="shared" si="98"/>
        <v>0</v>
      </c>
      <c r="AC97" s="101">
        <f t="shared" si="99"/>
        <v>0</v>
      </c>
      <c r="AD97" s="101">
        <f t="shared" si="100"/>
        <v>0</v>
      </c>
      <c r="AE97" s="101">
        <f t="shared" si="101"/>
        <v>0</v>
      </c>
      <c r="AF97" s="101">
        <f t="shared" si="102"/>
        <v>0</v>
      </c>
      <c r="AG97" s="101">
        <f t="shared" si="103"/>
        <v>0</v>
      </c>
      <c r="AH97" s="101">
        <f t="shared" si="104"/>
        <v>0</v>
      </c>
      <c r="AI97" s="93" t="s">
        <v>362</v>
      </c>
      <c r="AJ97" s="99">
        <f t="shared" si="105"/>
        <v>0</v>
      </c>
      <c r="AK97" s="99">
        <f t="shared" si="106"/>
        <v>0</v>
      </c>
      <c r="AL97" s="99">
        <f t="shared" si="107"/>
        <v>0</v>
      </c>
      <c r="AN97" s="101">
        <v>21</v>
      </c>
      <c r="AO97" s="101">
        <f>H97*0.508673469387755</f>
        <v>0</v>
      </c>
      <c r="AP97" s="101">
        <f>H97*(1-0.508673469387755)</f>
        <v>0</v>
      </c>
      <c r="AQ97" s="100" t="s">
        <v>57</v>
      </c>
      <c r="AV97" s="101">
        <f t="shared" si="108"/>
        <v>0</v>
      </c>
      <c r="AW97" s="101">
        <f t="shared" si="109"/>
        <v>0</v>
      </c>
      <c r="AX97" s="101">
        <f t="shared" si="110"/>
        <v>0</v>
      </c>
      <c r="AY97" s="102" t="s">
        <v>369</v>
      </c>
      <c r="AZ97" s="102" t="s">
        <v>380</v>
      </c>
      <c r="BA97" s="93" t="s">
        <v>395</v>
      </c>
      <c r="BC97" s="101">
        <f t="shared" si="111"/>
        <v>0</v>
      </c>
      <c r="BD97" s="101">
        <f t="shared" si="112"/>
        <v>0</v>
      </c>
      <c r="BE97" s="101">
        <v>0</v>
      </c>
      <c r="BF97" s="101">
        <f>97</f>
        <v>97</v>
      </c>
      <c r="BH97" s="99">
        <f t="shared" si="113"/>
        <v>0</v>
      </c>
      <c r="BI97" s="99">
        <f t="shared" si="114"/>
        <v>0</v>
      </c>
      <c r="BJ97" s="99">
        <f t="shared" si="115"/>
        <v>0</v>
      </c>
    </row>
    <row r="98" spans="1:62" ht="12.75">
      <c r="A98" s="13" t="s">
        <v>126</v>
      </c>
      <c r="B98" s="13" t="s">
        <v>204</v>
      </c>
      <c r="C98" s="48" t="s">
        <v>282</v>
      </c>
      <c r="D98" s="49"/>
      <c r="E98" s="49"/>
      <c r="F98" s="13" t="s">
        <v>324</v>
      </c>
      <c r="G98" s="23">
        <f>'Stavební rozpočet'!G106</f>
        <v>28</v>
      </c>
      <c r="H98" s="99">
        <f>'Stavební rozpočet'!H106</f>
        <v>0</v>
      </c>
      <c r="I98" s="99">
        <f t="shared" si="94"/>
        <v>0</v>
      </c>
      <c r="J98" s="99">
        <f t="shared" si="95"/>
        <v>0</v>
      </c>
      <c r="K98" s="99">
        <f t="shared" si="96"/>
        <v>0</v>
      </c>
      <c r="L98" s="100" t="s">
        <v>346</v>
      </c>
      <c r="Z98" s="101">
        <f t="shared" si="97"/>
        <v>0</v>
      </c>
      <c r="AB98" s="101">
        <f t="shared" si="98"/>
        <v>0</v>
      </c>
      <c r="AC98" s="101">
        <f t="shared" si="99"/>
        <v>0</v>
      </c>
      <c r="AD98" s="101">
        <f t="shared" si="100"/>
        <v>0</v>
      </c>
      <c r="AE98" s="101">
        <f t="shared" si="101"/>
        <v>0</v>
      </c>
      <c r="AF98" s="101">
        <f t="shared" si="102"/>
        <v>0</v>
      </c>
      <c r="AG98" s="101">
        <f t="shared" si="103"/>
        <v>0</v>
      </c>
      <c r="AH98" s="101">
        <f t="shared" si="104"/>
        <v>0</v>
      </c>
      <c r="AI98" s="93" t="s">
        <v>362</v>
      </c>
      <c r="AJ98" s="99">
        <f t="shared" si="105"/>
        <v>0</v>
      </c>
      <c r="AK98" s="99">
        <f t="shared" si="106"/>
        <v>0</v>
      </c>
      <c r="AL98" s="99">
        <f t="shared" si="107"/>
        <v>0</v>
      </c>
      <c r="AN98" s="101">
        <v>21</v>
      </c>
      <c r="AO98" s="101">
        <f>H98*0</f>
        <v>0</v>
      </c>
      <c r="AP98" s="101">
        <f>H98*(1-0)</f>
        <v>0</v>
      </c>
      <c r="AQ98" s="100" t="s">
        <v>57</v>
      </c>
      <c r="AV98" s="101">
        <f t="shared" si="108"/>
        <v>0</v>
      </c>
      <c r="AW98" s="101">
        <f t="shared" si="109"/>
        <v>0</v>
      </c>
      <c r="AX98" s="101">
        <f t="shared" si="110"/>
        <v>0</v>
      </c>
      <c r="AY98" s="102" t="s">
        <v>369</v>
      </c>
      <c r="AZ98" s="102" t="s">
        <v>380</v>
      </c>
      <c r="BA98" s="93" t="s">
        <v>395</v>
      </c>
      <c r="BC98" s="101">
        <f t="shared" si="111"/>
        <v>0</v>
      </c>
      <c r="BD98" s="101">
        <f t="shared" si="112"/>
        <v>0</v>
      </c>
      <c r="BE98" s="101">
        <v>0</v>
      </c>
      <c r="BF98" s="101">
        <f>98</f>
        <v>98</v>
      </c>
      <c r="BH98" s="99">
        <f t="shared" si="113"/>
        <v>0</v>
      </c>
      <c r="BI98" s="99">
        <f t="shared" si="114"/>
        <v>0</v>
      </c>
      <c r="BJ98" s="99">
        <f t="shared" si="115"/>
        <v>0</v>
      </c>
    </row>
    <row r="99" spans="1:47" ht="12.75">
      <c r="A99" s="12"/>
      <c r="B99" s="20" t="s">
        <v>205</v>
      </c>
      <c r="C99" s="46" t="s">
        <v>283</v>
      </c>
      <c r="D99" s="47"/>
      <c r="E99" s="47"/>
      <c r="F99" s="12" t="s">
        <v>56</v>
      </c>
      <c r="G99" s="12" t="s">
        <v>56</v>
      </c>
      <c r="H99" s="97" t="s">
        <v>56</v>
      </c>
      <c r="I99" s="98">
        <f>SUM(I100:I100)</f>
        <v>0</v>
      </c>
      <c r="J99" s="98">
        <f>SUM(J100:J100)</f>
        <v>0</v>
      </c>
      <c r="K99" s="98">
        <f>SUM(K100:K100)</f>
        <v>0</v>
      </c>
      <c r="L99" s="93"/>
      <c r="AI99" s="93" t="s">
        <v>362</v>
      </c>
      <c r="AS99" s="98">
        <f>SUM(AJ100:AJ100)</f>
        <v>0</v>
      </c>
      <c r="AT99" s="98">
        <f>SUM(AK100:AK100)</f>
        <v>0</v>
      </c>
      <c r="AU99" s="98">
        <f>SUM(AL100:AL100)</f>
        <v>0</v>
      </c>
    </row>
    <row r="100" spans="1:62" ht="12.75">
      <c r="A100" s="13" t="s">
        <v>127</v>
      </c>
      <c r="B100" s="13" t="s">
        <v>206</v>
      </c>
      <c r="C100" s="48" t="s">
        <v>284</v>
      </c>
      <c r="D100" s="49"/>
      <c r="E100" s="49"/>
      <c r="F100" s="13" t="s">
        <v>328</v>
      </c>
      <c r="G100" s="23">
        <f>'Stavební rozpočet'!G108</f>
        <v>17.3</v>
      </c>
      <c r="H100" s="99">
        <f>'Stavební rozpočet'!H108</f>
        <v>0</v>
      </c>
      <c r="I100" s="99">
        <f>G100*AO100</f>
        <v>0</v>
      </c>
      <c r="J100" s="99">
        <f>G100*AP100</f>
        <v>0</v>
      </c>
      <c r="K100" s="99">
        <f>G100*H100</f>
        <v>0</v>
      </c>
      <c r="L100" s="100" t="s">
        <v>346</v>
      </c>
      <c r="Z100" s="101">
        <f>IF(AQ100="5",BJ100,0)</f>
        <v>0</v>
      </c>
      <c r="AB100" s="101">
        <f>IF(AQ100="1",BH100,0)</f>
        <v>0</v>
      </c>
      <c r="AC100" s="101">
        <f>IF(AQ100="1",BI100,0)</f>
        <v>0</v>
      </c>
      <c r="AD100" s="101">
        <f>IF(AQ100="7",BH100,0)</f>
        <v>0</v>
      </c>
      <c r="AE100" s="101">
        <f>IF(AQ100="7",BI100,0)</f>
        <v>0</v>
      </c>
      <c r="AF100" s="101">
        <f>IF(AQ100="2",BH100,0)</f>
        <v>0</v>
      </c>
      <c r="AG100" s="101">
        <f>IF(AQ100="2",BI100,0)</f>
        <v>0</v>
      </c>
      <c r="AH100" s="101">
        <f>IF(AQ100="0",BJ100,0)</f>
        <v>0</v>
      </c>
      <c r="AI100" s="93" t="s">
        <v>362</v>
      </c>
      <c r="AJ100" s="99">
        <f>IF(AN100=0,K100,0)</f>
        <v>0</v>
      </c>
      <c r="AK100" s="99">
        <f>IF(AN100=15,K100,0)</f>
        <v>0</v>
      </c>
      <c r="AL100" s="99">
        <f>IF(AN100=21,K100,0)</f>
        <v>0</v>
      </c>
      <c r="AN100" s="101">
        <v>21</v>
      </c>
      <c r="AO100" s="101">
        <f>H100*0</f>
        <v>0</v>
      </c>
      <c r="AP100" s="101">
        <f>H100*(1-0)</f>
        <v>0</v>
      </c>
      <c r="AQ100" s="100" t="s">
        <v>61</v>
      </c>
      <c r="AV100" s="101">
        <f>AW100+AX100</f>
        <v>0</v>
      </c>
      <c r="AW100" s="101">
        <f>G100*AO100</f>
        <v>0</v>
      </c>
      <c r="AX100" s="101">
        <f>G100*AP100</f>
        <v>0</v>
      </c>
      <c r="AY100" s="102" t="s">
        <v>370</v>
      </c>
      <c r="AZ100" s="102" t="s">
        <v>381</v>
      </c>
      <c r="BA100" s="93" t="s">
        <v>395</v>
      </c>
      <c r="BC100" s="101">
        <f>AW100+AX100</f>
        <v>0</v>
      </c>
      <c r="BD100" s="101">
        <f>H100/(100-BE100)*100</f>
        <v>0</v>
      </c>
      <c r="BE100" s="101">
        <v>0</v>
      </c>
      <c r="BF100" s="101">
        <f>100</f>
        <v>100</v>
      </c>
      <c r="BH100" s="99">
        <f>G100*AO100</f>
        <v>0</v>
      </c>
      <c r="BI100" s="99">
        <f>G100*AP100</f>
        <v>0</v>
      </c>
      <c r="BJ100" s="99">
        <f>G100*H100</f>
        <v>0</v>
      </c>
    </row>
    <row r="101" spans="1:12" ht="12.75">
      <c r="A101" s="14"/>
      <c r="B101" s="21"/>
      <c r="C101" s="50" t="s">
        <v>304</v>
      </c>
      <c r="D101" s="51"/>
      <c r="E101" s="51"/>
      <c r="F101" s="14" t="s">
        <v>56</v>
      </c>
      <c r="G101" s="14" t="s">
        <v>56</v>
      </c>
      <c r="H101" s="103" t="s">
        <v>56</v>
      </c>
      <c r="I101" s="104">
        <f>I102+I108</f>
        <v>0</v>
      </c>
      <c r="J101" s="104">
        <f>J102+J108</f>
        <v>0</v>
      </c>
      <c r="K101" s="104">
        <f>K102+K108</f>
        <v>0</v>
      </c>
      <c r="L101" s="105"/>
    </row>
    <row r="102" spans="1:47" ht="12.75">
      <c r="A102" s="12"/>
      <c r="B102" s="20" t="s">
        <v>74</v>
      </c>
      <c r="C102" s="46" t="s">
        <v>276</v>
      </c>
      <c r="D102" s="47"/>
      <c r="E102" s="47"/>
      <c r="F102" s="12" t="s">
        <v>56</v>
      </c>
      <c r="G102" s="12" t="s">
        <v>56</v>
      </c>
      <c r="H102" s="97" t="s">
        <v>56</v>
      </c>
      <c r="I102" s="98">
        <f>SUM(I103:I107)</f>
        <v>0</v>
      </c>
      <c r="J102" s="98">
        <f>SUM(J103:J107)</f>
        <v>0</v>
      </c>
      <c r="K102" s="98">
        <f>SUM(K103:K107)</f>
        <v>0</v>
      </c>
      <c r="L102" s="93"/>
      <c r="AI102" s="93" t="s">
        <v>363</v>
      </c>
      <c r="AS102" s="98">
        <f>SUM(AJ103:AJ107)</f>
        <v>0</v>
      </c>
      <c r="AT102" s="98">
        <f>SUM(AK103:AK107)</f>
        <v>0</v>
      </c>
      <c r="AU102" s="98">
        <f>SUM(AL103:AL107)</f>
        <v>0</v>
      </c>
    </row>
    <row r="103" spans="1:62" ht="12.75">
      <c r="A103" s="13" t="s">
        <v>128</v>
      </c>
      <c r="B103" s="13" t="s">
        <v>215</v>
      </c>
      <c r="C103" s="48" t="s">
        <v>305</v>
      </c>
      <c r="D103" s="49"/>
      <c r="E103" s="49"/>
      <c r="F103" s="13" t="s">
        <v>325</v>
      </c>
      <c r="G103" s="23">
        <f>'Stavební rozpočet'!G125</f>
        <v>86143</v>
      </c>
      <c r="H103" s="99">
        <f>'Stavební rozpočet'!H125</f>
        <v>0</v>
      </c>
      <c r="I103" s="99">
        <f>G103*AO103</f>
        <v>0</v>
      </c>
      <c r="J103" s="99">
        <f>G103*AP103</f>
        <v>0</v>
      </c>
      <c r="K103" s="99">
        <f>G103*H103</f>
        <v>0</v>
      </c>
      <c r="L103" s="100" t="s">
        <v>346</v>
      </c>
      <c r="Z103" s="101">
        <f>IF(AQ103="5",BJ103,0)</f>
        <v>0</v>
      </c>
      <c r="AB103" s="101">
        <f>IF(AQ103="1",BH103,0)</f>
        <v>0</v>
      </c>
      <c r="AC103" s="101">
        <f>IF(AQ103="1",BI103,0)</f>
        <v>0</v>
      </c>
      <c r="AD103" s="101">
        <f>IF(AQ103="7",BH103,0)</f>
        <v>0</v>
      </c>
      <c r="AE103" s="101">
        <f>IF(AQ103="7",BI103,0)</f>
        <v>0</v>
      </c>
      <c r="AF103" s="101">
        <f>IF(AQ103="2",BH103,0)</f>
        <v>0</v>
      </c>
      <c r="AG103" s="101">
        <f>IF(AQ103="2",BI103,0)</f>
        <v>0</v>
      </c>
      <c r="AH103" s="101">
        <f>IF(AQ103="0",BJ103,0)</f>
        <v>0</v>
      </c>
      <c r="AI103" s="93" t="s">
        <v>363</v>
      </c>
      <c r="AJ103" s="99">
        <f>IF(AN103=0,K103,0)</f>
        <v>0</v>
      </c>
      <c r="AK103" s="99">
        <f>IF(AN103=15,K103,0)</f>
        <v>0</v>
      </c>
      <c r="AL103" s="99">
        <f>IF(AN103=21,K103,0)</f>
        <v>0</v>
      </c>
      <c r="AN103" s="101">
        <v>21</v>
      </c>
      <c r="AO103" s="101">
        <f>H103*0</f>
        <v>0</v>
      </c>
      <c r="AP103" s="101">
        <f>H103*(1-0)</f>
        <v>0</v>
      </c>
      <c r="AQ103" s="100" t="s">
        <v>57</v>
      </c>
      <c r="AV103" s="101">
        <f>AW103+AX103</f>
        <v>0</v>
      </c>
      <c r="AW103" s="101">
        <f>G103*AO103</f>
        <v>0</v>
      </c>
      <c r="AX103" s="101">
        <f>G103*AP103</f>
        <v>0</v>
      </c>
      <c r="AY103" s="102" t="s">
        <v>369</v>
      </c>
      <c r="AZ103" s="102" t="s">
        <v>383</v>
      </c>
      <c r="BA103" s="93" t="s">
        <v>396</v>
      </c>
      <c r="BC103" s="101">
        <f>AW103+AX103</f>
        <v>0</v>
      </c>
      <c r="BD103" s="101">
        <f>H103/(100-BE103)*100</f>
        <v>0</v>
      </c>
      <c r="BE103" s="101">
        <v>0</v>
      </c>
      <c r="BF103" s="101">
        <f>103</f>
        <v>103</v>
      </c>
      <c r="BH103" s="99">
        <f>G103*AO103</f>
        <v>0</v>
      </c>
      <c r="BI103" s="99">
        <f>G103*AP103</f>
        <v>0</v>
      </c>
      <c r="BJ103" s="99">
        <f>G103*H103</f>
        <v>0</v>
      </c>
    </row>
    <row r="104" spans="1:62" ht="12.75">
      <c r="A104" s="13" t="s">
        <v>129</v>
      </c>
      <c r="B104" s="13" t="s">
        <v>216</v>
      </c>
      <c r="C104" s="48" t="s">
        <v>306</v>
      </c>
      <c r="D104" s="49"/>
      <c r="E104" s="49"/>
      <c r="F104" s="13" t="s">
        <v>325</v>
      </c>
      <c r="G104" s="23">
        <f>'Stavební rozpočet'!G126</f>
        <v>86143</v>
      </c>
      <c r="H104" s="99">
        <f>'Stavební rozpočet'!H126</f>
        <v>0</v>
      </c>
      <c r="I104" s="99">
        <f>G104*AO104</f>
        <v>0</v>
      </c>
      <c r="J104" s="99">
        <f>G104*AP104</f>
        <v>0</v>
      </c>
      <c r="K104" s="99">
        <f>G104*H104</f>
        <v>0</v>
      </c>
      <c r="L104" s="100" t="s">
        <v>346</v>
      </c>
      <c r="Z104" s="101">
        <f>IF(AQ104="5",BJ104,0)</f>
        <v>0</v>
      </c>
      <c r="AB104" s="101">
        <f>IF(AQ104="1",BH104,0)</f>
        <v>0</v>
      </c>
      <c r="AC104" s="101">
        <f>IF(AQ104="1",BI104,0)</f>
        <v>0</v>
      </c>
      <c r="AD104" s="101">
        <f>IF(AQ104="7",BH104,0)</f>
        <v>0</v>
      </c>
      <c r="AE104" s="101">
        <f>IF(AQ104="7",BI104,0)</f>
        <v>0</v>
      </c>
      <c r="AF104" s="101">
        <f>IF(AQ104="2",BH104,0)</f>
        <v>0</v>
      </c>
      <c r="AG104" s="101">
        <f>IF(AQ104="2",BI104,0)</f>
        <v>0</v>
      </c>
      <c r="AH104" s="101">
        <f>IF(AQ104="0",BJ104,0)</f>
        <v>0</v>
      </c>
      <c r="AI104" s="93" t="s">
        <v>363</v>
      </c>
      <c r="AJ104" s="99">
        <f>IF(AN104=0,K104,0)</f>
        <v>0</v>
      </c>
      <c r="AK104" s="99">
        <f>IF(AN104=15,K104,0)</f>
        <v>0</v>
      </c>
      <c r="AL104" s="99">
        <f>IF(AN104=21,K104,0)</f>
        <v>0</v>
      </c>
      <c r="AN104" s="101">
        <v>21</v>
      </c>
      <c r="AO104" s="101">
        <f>H104*0</f>
        <v>0</v>
      </c>
      <c r="AP104" s="101">
        <f>H104*(1-0)</f>
        <v>0</v>
      </c>
      <c r="AQ104" s="100" t="s">
        <v>57</v>
      </c>
      <c r="AV104" s="101">
        <f>AW104+AX104</f>
        <v>0</v>
      </c>
      <c r="AW104" s="101">
        <f>G104*AO104</f>
        <v>0</v>
      </c>
      <c r="AX104" s="101">
        <f>G104*AP104</f>
        <v>0</v>
      </c>
      <c r="AY104" s="102" t="s">
        <v>369</v>
      </c>
      <c r="AZ104" s="102" t="s">
        <v>383</v>
      </c>
      <c r="BA104" s="93" t="s">
        <v>396</v>
      </c>
      <c r="BC104" s="101">
        <f>AW104+AX104</f>
        <v>0</v>
      </c>
      <c r="BD104" s="101">
        <f>H104/(100-BE104)*100</f>
        <v>0</v>
      </c>
      <c r="BE104" s="101">
        <v>0</v>
      </c>
      <c r="BF104" s="101">
        <f>104</f>
        <v>104</v>
      </c>
      <c r="BH104" s="99">
        <f>G104*AO104</f>
        <v>0</v>
      </c>
      <c r="BI104" s="99">
        <f>G104*AP104</f>
        <v>0</v>
      </c>
      <c r="BJ104" s="99">
        <f>G104*H104</f>
        <v>0</v>
      </c>
    </row>
    <row r="105" spans="1:62" ht="12.75">
      <c r="A105" s="13" t="s">
        <v>130</v>
      </c>
      <c r="B105" s="13" t="s">
        <v>217</v>
      </c>
      <c r="C105" s="48" t="s">
        <v>307</v>
      </c>
      <c r="D105" s="49"/>
      <c r="E105" s="49"/>
      <c r="F105" s="13" t="s">
        <v>325</v>
      </c>
      <c r="G105" s="23">
        <f>'Stavební rozpočet'!G127</f>
        <v>86143</v>
      </c>
      <c r="H105" s="99">
        <f>'Stavební rozpočet'!H127</f>
        <v>0</v>
      </c>
      <c r="I105" s="99">
        <f>G105*AO105</f>
        <v>0</v>
      </c>
      <c r="J105" s="99">
        <f>G105*AP105</f>
        <v>0</v>
      </c>
      <c r="K105" s="99">
        <f>G105*H105</f>
        <v>0</v>
      </c>
      <c r="L105" s="100" t="s">
        <v>346</v>
      </c>
      <c r="Z105" s="101">
        <f>IF(AQ105="5",BJ105,0)</f>
        <v>0</v>
      </c>
      <c r="AB105" s="101">
        <f>IF(AQ105="1",BH105,0)</f>
        <v>0</v>
      </c>
      <c r="AC105" s="101">
        <f>IF(AQ105="1",BI105,0)</f>
        <v>0</v>
      </c>
      <c r="AD105" s="101">
        <f>IF(AQ105="7",BH105,0)</f>
        <v>0</v>
      </c>
      <c r="AE105" s="101">
        <f>IF(AQ105="7",BI105,0)</f>
        <v>0</v>
      </c>
      <c r="AF105" s="101">
        <f>IF(AQ105="2",BH105,0)</f>
        <v>0</v>
      </c>
      <c r="AG105" s="101">
        <f>IF(AQ105="2",BI105,0)</f>
        <v>0</v>
      </c>
      <c r="AH105" s="101">
        <f>IF(AQ105="0",BJ105,0)</f>
        <v>0</v>
      </c>
      <c r="AI105" s="93" t="s">
        <v>363</v>
      </c>
      <c r="AJ105" s="99">
        <f>IF(AN105=0,K105,0)</f>
        <v>0</v>
      </c>
      <c r="AK105" s="99">
        <f>IF(AN105=15,K105,0)</f>
        <v>0</v>
      </c>
      <c r="AL105" s="99">
        <f>IF(AN105=21,K105,0)</f>
        <v>0</v>
      </c>
      <c r="AN105" s="101">
        <v>21</v>
      </c>
      <c r="AO105" s="101">
        <f>H105*0</f>
        <v>0</v>
      </c>
      <c r="AP105" s="101">
        <f>H105*(1-0)</f>
        <v>0</v>
      </c>
      <c r="AQ105" s="100" t="s">
        <v>57</v>
      </c>
      <c r="AV105" s="101">
        <f>AW105+AX105</f>
        <v>0</v>
      </c>
      <c r="AW105" s="101">
        <f>G105*AO105</f>
        <v>0</v>
      </c>
      <c r="AX105" s="101">
        <f>G105*AP105</f>
        <v>0</v>
      </c>
      <c r="AY105" s="102" t="s">
        <v>369</v>
      </c>
      <c r="AZ105" s="102" t="s">
        <v>383</v>
      </c>
      <c r="BA105" s="93" t="s">
        <v>396</v>
      </c>
      <c r="BC105" s="101">
        <f>AW105+AX105</f>
        <v>0</v>
      </c>
      <c r="BD105" s="101">
        <f>H105/(100-BE105)*100</f>
        <v>0</v>
      </c>
      <c r="BE105" s="101">
        <v>0</v>
      </c>
      <c r="BF105" s="101">
        <f>105</f>
        <v>105</v>
      </c>
      <c r="BH105" s="99">
        <f>G105*AO105</f>
        <v>0</v>
      </c>
      <c r="BI105" s="99">
        <f>G105*AP105</f>
        <v>0</v>
      </c>
      <c r="BJ105" s="99">
        <f>G105*H105</f>
        <v>0</v>
      </c>
    </row>
    <row r="106" spans="1:62" ht="12.75">
      <c r="A106" s="13" t="s">
        <v>131</v>
      </c>
      <c r="B106" s="13" t="s">
        <v>218</v>
      </c>
      <c r="C106" s="48" t="s">
        <v>308</v>
      </c>
      <c r="D106" s="49"/>
      <c r="E106" s="49"/>
      <c r="F106" s="13" t="s">
        <v>325</v>
      </c>
      <c r="G106" s="23">
        <f>'Stavební rozpočet'!G128</f>
        <v>86143</v>
      </c>
      <c r="H106" s="99">
        <f>'Stavební rozpočet'!H128</f>
        <v>0</v>
      </c>
      <c r="I106" s="99">
        <f>G106*AO106</f>
        <v>0</v>
      </c>
      <c r="J106" s="99">
        <f>G106*AP106</f>
        <v>0</v>
      </c>
      <c r="K106" s="99">
        <f>G106*H106</f>
        <v>0</v>
      </c>
      <c r="L106" s="100" t="s">
        <v>346</v>
      </c>
      <c r="Z106" s="101">
        <f>IF(AQ106="5",BJ106,0)</f>
        <v>0</v>
      </c>
      <c r="AB106" s="101">
        <f>IF(AQ106="1",BH106,0)</f>
        <v>0</v>
      </c>
      <c r="AC106" s="101">
        <f>IF(AQ106="1",BI106,0)</f>
        <v>0</v>
      </c>
      <c r="AD106" s="101">
        <f>IF(AQ106="7",BH106,0)</f>
        <v>0</v>
      </c>
      <c r="AE106" s="101">
        <f>IF(AQ106="7",BI106,0)</f>
        <v>0</v>
      </c>
      <c r="AF106" s="101">
        <f>IF(AQ106="2",BH106,0)</f>
        <v>0</v>
      </c>
      <c r="AG106" s="101">
        <f>IF(AQ106="2",BI106,0)</f>
        <v>0</v>
      </c>
      <c r="AH106" s="101">
        <f>IF(AQ106="0",BJ106,0)</f>
        <v>0</v>
      </c>
      <c r="AI106" s="93" t="s">
        <v>363</v>
      </c>
      <c r="AJ106" s="99">
        <f>IF(AN106=0,K106,0)</f>
        <v>0</v>
      </c>
      <c r="AK106" s="99">
        <f>IF(AN106=15,K106,0)</f>
        <v>0</v>
      </c>
      <c r="AL106" s="99">
        <f>IF(AN106=21,K106,0)</f>
        <v>0</v>
      </c>
      <c r="AN106" s="101">
        <v>21</v>
      </c>
      <c r="AO106" s="101">
        <f>H106*0</f>
        <v>0</v>
      </c>
      <c r="AP106" s="101">
        <f>H106*(1-0)</f>
        <v>0</v>
      </c>
      <c r="AQ106" s="100" t="s">
        <v>57</v>
      </c>
      <c r="AV106" s="101">
        <f>AW106+AX106</f>
        <v>0</v>
      </c>
      <c r="AW106" s="101">
        <f>G106*AO106</f>
        <v>0</v>
      </c>
      <c r="AX106" s="101">
        <f>G106*AP106</f>
        <v>0</v>
      </c>
      <c r="AY106" s="102" t="s">
        <v>369</v>
      </c>
      <c r="AZ106" s="102" t="s">
        <v>383</v>
      </c>
      <c r="BA106" s="93" t="s">
        <v>396</v>
      </c>
      <c r="BC106" s="101">
        <f>AW106+AX106</f>
        <v>0</v>
      </c>
      <c r="BD106" s="101">
        <f>H106/(100-BE106)*100</f>
        <v>0</v>
      </c>
      <c r="BE106" s="101">
        <v>0</v>
      </c>
      <c r="BF106" s="101">
        <f>106</f>
        <v>106</v>
      </c>
      <c r="BH106" s="99">
        <f>G106*AO106</f>
        <v>0</v>
      </c>
      <c r="BI106" s="99">
        <f>G106*AP106</f>
        <v>0</v>
      </c>
      <c r="BJ106" s="99">
        <f>G106*H106</f>
        <v>0</v>
      </c>
    </row>
    <row r="107" spans="1:62" ht="12.75">
      <c r="A107" s="13" t="s">
        <v>132</v>
      </c>
      <c r="B107" s="13" t="s">
        <v>219</v>
      </c>
      <c r="C107" s="48" t="s">
        <v>309</v>
      </c>
      <c r="D107" s="49"/>
      <c r="E107" s="49"/>
      <c r="F107" s="13" t="s">
        <v>325</v>
      </c>
      <c r="G107" s="23">
        <f>'Stavební rozpočet'!G129</f>
        <v>86143</v>
      </c>
      <c r="H107" s="99">
        <f>'Stavební rozpočet'!H129</f>
        <v>0</v>
      </c>
      <c r="I107" s="99">
        <f>G107*AO107</f>
        <v>0</v>
      </c>
      <c r="J107" s="99">
        <f>G107*AP107</f>
        <v>0</v>
      </c>
      <c r="K107" s="99">
        <f>G107*H107</f>
        <v>0</v>
      </c>
      <c r="L107" s="100" t="s">
        <v>346</v>
      </c>
      <c r="Z107" s="101">
        <f>IF(AQ107="5",BJ107,0)</f>
        <v>0</v>
      </c>
      <c r="AB107" s="101">
        <f>IF(AQ107="1",BH107,0)</f>
        <v>0</v>
      </c>
      <c r="AC107" s="101">
        <f>IF(AQ107="1",BI107,0)</f>
        <v>0</v>
      </c>
      <c r="AD107" s="101">
        <f>IF(AQ107="7",BH107,0)</f>
        <v>0</v>
      </c>
      <c r="AE107" s="101">
        <f>IF(AQ107="7",BI107,0)</f>
        <v>0</v>
      </c>
      <c r="AF107" s="101">
        <f>IF(AQ107="2",BH107,0)</f>
        <v>0</v>
      </c>
      <c r="AG107" s="101">
        <f>IF(AQ107="2",BI107,0)</f>
        <v>0</v>
      </c>
      <c r="AH107" s="101">
        <f>IF(AQ107="0",BJ107,0)</f>
        <v>0</v>
      </c>
      <c r="AI107" s="93" t="s">
        <v>363</v>
      </c>
      <c r="AJ107" s="99">
        <f>IF(AN107=0,K107,0)</f>
        <v>0</v>
      </c>
      <c r="AK107" s="99">
        <f>IF(AN107=15,K107,0)</f>
        <v>0</v>
      </c>
      <c r="AL107" s="99">
        <f>IF(AN107=21,K107,0)</f>
        <v>0</v>
      </c>
      <c r="AN107" s="101">
        <v>21</v>
      </c>
      <c r="AO107" s="101">
        <f>H107*0.075098814229249</f>
        <v>0</v>
      </c>
      <c r="AP107" s="101">
        <f>H107*(1-0.075098814229249)</f>
        <v>0</v>
      </c>
      <c r="AQ107" s="100" t="s">
        <v>57</v>
      </c>
      <c r="AV107" s="101">
        <f>AW107+AX107</f>
        <v>0</v>
      </c>
      <c r="AW107" s="101">
        <f>G107*AO107</f>
        <v>0</v>
      </c>
      <c r="AX107" s="101">
        <f>G107*AP107</f>
        <v>0</v>
      </c>
      <c r="AY107" s="102" t="s">
        <v>369</v>
      </c>
      <c r="AZ107" s="102" t="s">
        <v>383</v>
      </c>
      <c r="BA107" s="93" t="s">
        <v>396</v>
      </c>
      <c r="BC107" s="101">
        <f>AW107+AX107</f>
        <v>0</v>
      </c>
      <c r="BD107" s="101">
        <f>H107/(100-BE107)*100</f>
        <v>0</v>
      </c>
      <c r="BE107" s="101">
        <v>0</v>
      </c>
      <c r="BF107" s="101">
        <f>107</f>
        <v>107</v>
      </c>
      <c r="BH107" s="99">
        <f>G107*AO107</f>
        <v>0</v>
      </c>
      <c r="BI107" s="99">
        <f>G107*AP107</f>
        <v>0</v>
      </c>
      <c r="BJ107" s="99">
        <f>G107*H107</f>
        <v>0</v>
      </c>
    </row>
    <row r="108" spans="1:47" ht="12.75">
      <c r="A108" s="12"/>
      <c r="B108" s="20" t="s">
        <v>205</v>
      </c>
      <c r="C108" s="46" t="s">
        <v>283</v>
      </c>
      <c r="D108" s="47"/>
      <c r="E108" s="47"/>
      <c r="F108" s="12" t="s">
        <v>56</v>
      </c>
      <c r="G108" s="12" t="s">
        <v>56</v>
      </c>
      <c r="H108" s="97" t="s">
        <v>56</v>
      </c>
      <c r="I108" s="98">
        <f>SUM(I109:I109)</f>
        <v>0</v>
      </c>
      <c r="J108" s="98">
        <f>SUM(J109:J109)</f>
        <v>0</v>
      </c>
      <c r="K108" s="98">
        <f>SUM(K109:K109)</f>
        <v>0</v>
      </c>
      <c r="L108" s="93"/>
      <c r="AI108" s="93" t="s">
        <v>363</v>
      </c>
      <c r="AS108" s="98">
        <f>SUM(AJ109:AJ109)</f>
        <v>0</v>
      </c>
      <c r="AT108" s="98">
        <f>SUM(AK109:AK109)</f>
        <v>0</v>
      </c>
      <c r="AU108" s="98">
        <f>SUM(AL109:AL109)</f>
        <v>0</v>
      </c>
    </row>
    <row r="109" spans="1:62" ht="12.75">
      <c r="A109" s="13" t="s">
        <v>133</v>
      </c>
      <c r="B109" s="13" t="s">
        <v>206</v>
      </c>
      <c r="C109" s="48" t="s">
        <v>284</v>
      </c>
      <c r="D109" s="49"/>
      <c r="E109" s="49"/>
      <c r="F109" s="13" t="s">
        <v>328</v>
      </c>
      <c r="G109" s="23">
        <f>'Stavební rozpočet'!G131</f>
        <v>0.9</v>
      </c>
      <c r="H109" s="99">
        <f>'Stavební rozpočet'!H131</f>
        <v>0</v>
      </c>
      <c r="I109" s="99">
        <f>G109*AO109</f>
        <v>0</v>
      </c>
      <c r="J109" s="99">
        <f>G109*AP109</f>
        <v>0</v>
      </c>
      <c r="K109" s="99">
        <f>G109*H109</f>
        <v>0</v>
      </c>
      <c r="L109" s="100" t="s">
        <v>346</v>
      </c>
      <c r="Z109" s="101">
        <f>IF(AQ109="5",BJ109,0)</f>
        <v>0</v>
      </c>
      <c r="AB109" s="101">
        <f>IF(AQ109="1",BH109,0)</f>
        <v>0</v>
      </c>
      <c r="AC109" s="101">
        <f>IF(AQ109="1",BI109,0)</f>
        <v>0</v>
      </c>
      <c r="AD109" s="101">
        <f>IF(AQ109="7",BH109,0)</f>
        <v>0</v>
      </c>
      <c r="AE109" s="101">
        <f>IF(AQ109="7",BI109,0)</f>
        <v>0</v>
      </c>
      <c r="AF109" s="101">
        <f>IF(AQ109="2",BH109,0)</f>
        <v>0</v>
      </c>
      <c r="AG109" s="101">
        <f>IF(AQ109="2",BI109,0)</f>
        <v>0</v>
      </c>
      <c r="AH109" s="101">
        <f>IF(AQ109="0",BJ109,0)</f>
        <v>0</v>
      </c>
      <c r="AI109" s="93" t="s">
        <v>363</v>
      </c>
      <c r="AJ109" s="99">
        <f>IF(AN109=0,K109,0)</f>
        <v>0</v>
      </c>
      <c r="AK109" s="99">
        <f>IF(AN109=15,K109,0)</f>
        <v>0</v>
      </c>
      <c r="AL109" s="99">
        <f>IF(AN109=21,K109,0)</f>
        <v>0</v>
      </c>
      <c r="AN109" s="101">
        <v>21</v>
      </c>
      <c r="AO109" s="101">
        <f>H109*0</f>
        <v>0</v>
      </c>
      <c r="AP109" s="101">
        <f>H109*(1-0)</f>
        <v>0</v>
      </c>
      <c r="AQ109" s="100" t="s">
        <v>61</v>
      </c>
      <c r="AV109" s="101">
        <f>AW109+AX109</f>
        <v>0</v>
      </c>
      <c r="AW109" s="101">
        <f>G109*AO109</f>
        <v>0</v>
      </c>
      <c r="AX109" s="101">
        <f>G109*AP109</f>
        <v>0</v>
      </c>
      <c r="AY109" s="102" t="s">
        <v>370</v>
      </c>
      <c r="AZ109" s="102" t="s">
        <v>384</v>
      </c>
      <c r="BA109" s="93" t="s">
        <v>396</v>
      </c>
      <c r="BC109" s="101">
        <f>AW109+AX109</f>
        <v>0</v>
      </c>
      <c r="BD109" s="101">
        <f>H109/(100-BE109)*100</f>
        <v>0</v>
      </c>
      <c r="BE109" s="101">
        <v>0</v>
      </c>
      <c r="BF109" s="101">
        <f>109</f>
        <v>109</v>
      </c>
      <c r="BH109" s="99">
        <f>G109*AO109</f>
        <v>0</v>
      </c>
      <c r="BI109" s="99">
        <f>G109*AP109</f>
        <v>0</v>
      </c>
      <c r="BJ109" s="99">
        <f>G109*H109</f>
        <v>0</v>
      </c>
    </row>
    <row r="110" spans="1:12" ht="12.75">
      <c r="A110" s="14"/>
      <c r="B110" s="21"/>
      <c r="C110" s="50" t="s">
        <v>311</v>
      </c>
      <c r="D110" s="51"/>
      <c r="E110" s="51"/>
      <c r="F110" s="14" t="s">
        <v>56</v>
      </c>
      <c r="G110" s="14" t="s">
        <v>56</v>
      </c>
      <c r="H110" s="103" t="s">
        <v>56</v>
      </c>
      <c r="I110" s="104">
        <f>I111+I118</f>
        <v>0</v>
      </c>
      <c r="J110" s="104">
        <f>J111+J118</f>
        <v>0</v>
      </c>
      <c r="K110" s="104">
        <f>K111+K118</f>
        <v>0</v>
      </c>
      <c r="L110" s="105"/>
    </row>
    <row r="111" spans="1:47" ht="12.75">
      <c r="A111" s="12"/>
      <c r="B111" s="20" t="s">
        <v>74</v>
      </c>
      <c r="C111" s="46" t="s">
        <v>276</v>
      </c>
      <c r="D111" s="47"/>
      <c r="E111" s="47"/>
      <c r="F111" s="12" t="s">
        <v>56</v>
      </c>
      <c r="G111" s="12" t="s">
        <v>56</v>
      </c>
      <c r="H111" s="97" t="s">
        <v>56</v>
      </c>
      <c r="I111" s="98">
        <f>SUM(I112:I117)</f>
        <v>0</v>
      </c>
      <c r="J111" s="98">
        <f>SUM(J112:J117)</f>
        <v>0</v>
      </c>
      <c r="K111" s="98">
        <f>SUM(K112:K117)</f>
        <v>0</v>
      </c>
      <c r="L111" s="93"/>
      <c r="AI111" s="93" t="s">
        <v>364</v>
      </c>
      <c r="AS111" s="98">
        <f>SUM(AJ112:AJ117)</f>
        <v>0</v>
      </c>
      <c r="AT111" s="98">
        <f>SUM(AK112:AK117)</f>
        <v>0</v>
      </c>
      <c r="AU111" s="98">
        <f>SUM(AL112:AL117)</f>
        <v>0</v>
      </c>
    </row>
    <row r="112" spans="1:62" ht="12.75">
      <c r="A112" s="13" t="s">
        <v>134</v>
      </c>
      <c r="B112" s="13" t="s">
        <v>221</v>
      </c>
      <c r="C112" s="48" t="s">
        <v>312</v>
      </c>
      <c r="D112" s="49"/>
      <c r="E112" s="49"/>
      <c r="F112" s="13" t="s">
        <v>324</v>
      </c>
      <c r="G112" s="23">
        <f>'Stavební rozpočet'!G136</f>
        <v>101.4</v>
      </c>
      <c r="H112" s="99">
        <f>'Stavební rozpočet'!H136</f>
        <v>0</v>
      </c>
      <c r="I112" s="99">
        <f aca="true" t="shared" si="116" ref="I112:I117">G112*AO112</f>
        <v>0</v>
      </c>
      <c r="J112" s="99">
        <f aca="true" t="shared" si="117" ref="J112:J117">G112*AP112</f>
        <v>0</v>
      </c>
      <c r="K112" s="99">
        <f aca="true" t="shared" si="118" ref="K112:K117">G112*H112</f>
        <v>0</v>
      </c>
      <c r="L112" s="100" t="s">
        <v>346</v>
      </c>
      <c r="Z112" s="101">
        <f aca="true" t="shared" si="119" ref="Z112:Z117">IF(AQ112="5",BJ112,0)</f>
        <v>0</v>
      </c>
      <c r="AB112" s="101">
        <f aca="true" t="shared" si="120" ref="AB112:AB117">IF(AQ112="1",BH112,0)</f>
        <v>0</v>
      </c>
      <c r="AC112" s="101">
        <f aca="true" t="shared" si="121" ref="AC112:AC117">IF(AQ112="1",BI112,0)</f>
        <v>0</v>
      </c>
      <c r="AD112" s="101">
        <f aca="true" t="shared" si="122" ref="AD112:AD117">IF(AQ112="7",BH112,0)</f>
        <v>0</v>
      </c>
      <c r="AE112" s="101">
        <f aca="true" t="shared" si="123" ref="AE112:AE117">IF(AQ112="7",BI112,0)</f>
        <v>0</v>
      </c>
      <c r="AF112" s="101">
        <f aca="true" t="shared" si="124" ref="AF112:AF117">IF(AQ112="2",BH112,0)</f>
        <v>0</v>
      </c>
      <c r="AG112" s="101">
        <f aca="true" t="shared" si="125" ref="AG112:AG117">IF(AQ112="2",BI112,0)</f>
        <v>0</v>
      </c>
      <c r="AH112" s="101">
        <f aca="true" t="shared" si="126" ref="AH112:AH117">IF(AQ112="0",BJ112,0)</f>
        <v>0</v>
      </c>
      <c r="AI112" s="93" t="s">
        <v>364</v>
      </c>
      <c r="AJ112" s="99">
        <f aca="true" t="shared" si="127" ref="AJ112:AJ117">IF(AN112=0,K112,0)</f>
        <v>0</v>
      </c>
      <c r="AK112" s="99">
        <f aca="true" t="shared" si="128" ref="AK112:AK117">IF(AN112=15,K112,0)</f>
        <v>0</v>
      </c>
      <c r="AL112" s="99">
        <f aca="true" t="shared" si="129" ref="AL112:AL117">IF(AN112=21,K112,0)</f>
        <v>0</v>
      </c>
      <c r="AN112" s="101">
        <v>21</v>
      </c>
      <c r="AO112" s="101">
        <f>H112*0.332631578947368</f>
        <v>0</v>
      </c>
      <c r="AP112" s="101">
        <f>H112*(1-0.332631578947368)</f>
        <v>0</v>
      </c>
      <c r="AQ112" s="100" t="s">
        <v>57</v>
      </c>
      <c r="AV112" s="101">
        <f aca="true" t="shared" si="130" ref="AV112:AV117">AW112+AX112</f>
        <v>0</v>
      </c>
      <c r="AW112" s="101">
        <f aca="true" t="shared" si="131" ref="AW112:AW117">G112*AO112</f>
        <v>0</v>
      </c>
      <c r="AX112" s="101">
        <f aca="true" t="shared" si="132" ref="AX112:AX117">G112*AP112</f>
        <v>0</v>
      </c>
      <c r="AY112" s="102" t="s">
        <v>369</v>
      </c>
      <c r="AZ112" s="102" t="s">
        <v>386</v>
      </c>
      <c r="BA112" s="93" t="s">
        <v>397</v>
      </c>
      <c r="BC112" s="101">
        <f aca="true" t="shared" si="133" ref="BC112:BC117">AW112+AX112</f>
        <v>0</v>
      </c>
      <c r="BD112" s="101">
        <f aca="true" t="shared" si="134" ref="BD112:BD117">H112/(100-BE112)*100</f>
        <v>0</v>
      </c>
      <c r="BE112" s="101">
        <v>0</v>
      </c>
      <c r="BF112" s="101">
        <f>112</f>
        <v>112</v>
      </c>
      <c r="BH112" s="99">
        <f aca="true" t="shared" si="135" ref="BH112:BH117">G112*AO112</f>
        <v>0</v>
      </c>
      <c r="BI112" s="99">
        <f aca="true" t="shared" si="136" ref="BI112:BI117">G112*AP112</f>
        <v>0</v>
      </c>
      <c r="BJ112" s="99">
        <f aca="true" t="shared" si="137" ref="BJ112:BJ117">G112*H112</f>
        <v>0</v>
      </c>
    </row>
    <row r="113" spans="1:62" ht="12.75">
      <c r="A113" s="13" t="s">
        <v>135</v>
      </c>
      <c r="B113" s="13" t="s">
        <v>221</v>
      </c>
      <c r="C113" s="48" t="s">
        <v>313</v>
      </c>
      <c r="D113" s="49"/>
      <c r="E113" s="49"/>
      <c r="F113" s="13" t="s">
        <v>324</v>
      </c>
      <c r="G113" s="23">
        <f>'Stavební rozpočet'!G137</f>
        <v>251.1</v>
      </c>
      <c r="H113" s="99">
        <f>'Stavební rozpočet'!H137</f>
        <v>0</v>
      </c>
      <c r="I113" s="99">
        <f t="shared" si="116"/>
        <v>0</v>
      </c>
      <c r="J113" s="99">
        <f t="shared" si="117"/>
        <v>0</v>
      </c>
      <c r="K113" s="99">
        <f t="shared" si="118"/>
        <v>0</v>
      </c>
      <c r="L113" s="100" t="s">
        <v>346</v>
      </c>
      <c r="Z113" s="101">
        <f t="shared" si="119"/>
        <v>0</v>
      </c>
      <c r="AB113" s="101">
        <f t="shared" si="120"/>
        <v>0</v>
      </c>
      <c r="AC113" s="101">
        <f t="shared" si="121"/>
        <v>0</v>
      </c>
      <c r="AD113" s="101">
        <f t="shared" si="122"/>
        <v>0</v>
      </c>
      <c r="AE113" s="101">
        <f t="shared" si="123"/>
        <v>0</v>
      </c>
      <c r="AF113" s="101">
        <f t="shared" si="124"/>
        <v>0</v>
      </c>
      <c r="AG113" s="101">
        <f t="shared" si="125"/>
        <v>0</v>
      </c>
      <c r="AH113" s="101">
        <f t="shared" si="126"/>
        <v>0</v>
      </c>
      <c r="AI113" s="93" t="s">
        <v>364</v>
      </c>
      <c r="AJ113" s="99">
        <f t="shared" si="127"/>
        <v>0</v>
      </c>
      <c r="AK113" s="99">
        <f t="shared" si="128"/>
        <v>0</v>
      </c>
      <c r="AL113" s="99">
        <f t="shared" si="129"/>
        <v>0</v>
      </c>
      <c r="AN113" s="101">
        <v>21</v>
      </c>
      <c r="AO113" s="101">
        <f>H113*0.332631578947368</f>
        <v>0</v>
      </c>
      <c r="AP113" s="101">
        <f>H113*(1-0.332631578947368)</f>
        <v>0</v>
      </c>
      <c r="AQ113" s="100" t="s">
        <v>57</v>
      </c>
      <c r="AV113" s="101">
        <f t="shared" si="130"/>
        <v>0</v>
      </c>
      <c r="AW113" s="101">
        <f t="shared" si="131"/>
        <v>0</v>
      </c>
      <c r="AX113" s="101">
        <f t="shared" si="132"/>
        <v>0</v>
      </c>
      <c r="AY113" s="102" t="s">
        <v>369</v>
      </c>
      <c r="AZ113" s="102" t="s">
        <v>386</v>
      </c>
      <c r="BA113" s="93" t="s">
        <v>397</v>
      </c>
      <c r="BC113" s="101">
        <f t="shared" si="133"/>
        <v>0</v>
      </c>
      <c r="BD113" s="101">
        <f t="shared" si="134"/>
        <v>0</v>
      </c>
      <c r="BE113" s="101">
        <v>0</v>
      </c>
      <c r="BF113" s="101">
        <f>113</f>
        <v>113</v>
      </c>
      <c r="BH113" s="99">
        <f t="shared" si="135"/>
        <v>0</v>
      </c>
      <c r="BI113" s="99">
        <f t="shared" si="136"/>
        <v>0</v>
      </c>
      <c r="BJ113" s="99">
        <f t="shared" si="137"/>
        <v>0</v>
      </c>
    </row>
    <row r="114" spans="1:62" ht="12.75">
      <c r="A114" s="13" t="s">
        <v>136</v>
      </c>
      <c r="B114" s="13" t="s">
        <v>222</v>
      </c>
      <c r="C114" s="48" t="s">
        <v>314</v>
      </c>
      <c r="D114" s="49"/>
      <c r="E114" s="49"/>
      <c r="F114" s="13" t="s">
        <v>327</v>
      </c>
      <c r="G114" s="23">
        <f>'Stavební rozpočet'!G138</f>
        <v>252</v>
      </c>
      <c r="H114" s="99">
        <f>'Stavební rozpočet'!H138</f>
        <v>0</v>
      </c>
      <c r="I114" s="99">
        <f t="shared" si="116"/>
        <v>0</v>
      </c>
      <c r="J114" s="99">
        <f t="shared" si="117"/>
        <v>0</v>
      </c>
      <c r="K114" s="99">
        <f t="shared" si="118"/>
        <v>0</v>
      </c>
      <c r="L114" s="100"/>
      <c r="Z114" s="101">
        <f t="shared" si="119"/>
        <v>0</v>
      </c>
      <c r="AB114" s="101">
        <f t="shared" si="120"/>
        <v>0</v>
      </c>
      <c r="AC114" s="101">
        <f t="shared" si="121"/>
        <v>0</v>
      </c>
      <c r="AD114" s="101">
        <f t="shared" si="122"/>
        <v>0</v>
      </c>
      <c r="AE114" s="101">
        <f t="shared" si="123"/>
        <v>0</v>
      </c>
      <c r="AF114" s="101">
        <f t="shared" si="124"/>
        <v>0</v>
      </c>
      <c r="AG114" s="101">
        <f t="shared" si="125"/>
        <v>0</v>
      </c>
      <c r="AH114" s="101">
        <f t="shared" si="126"/>
        <v>0</v>
      </c>
      <c r="AI114" s="93" t="s">
        <v>364</v>
      </c>
      <c r="AJ114" s="99">
        <f t="shared" si="127"/>
        <v>0</v>
      </c>
      <c r="AK114" s="99">
        <f t="shared" si="128"/>
        <v>0</v>
      </c>
      <c r="AL114" s="99">
        <f t="shared" si="129"/>
        <v>0</v>
      </c>
      <c r="AN114" s="101">
        <v>21</v>
      </c>
      <c r="AO114" s="101">
        <f>H114*1</f>
        <v>0</v>
      </c>
      <c r="AP114" s="101">
        <f>H114*(1-1)</f>
        <v>0</v>
      </c>
      <c r="AQ114" s="100" t="s">
        <v>57</v>
      </c>
      <c r="AV114" s="101">
        <f t="shared" si="130"/>
        <v>0</v>
      </c>
      <c r="AW114" s="101">
        <f t="shared" si="131"/>
        <v>0</v>
      </c>
      <c r="AX114" s="101">
        <f t="shared" si="132"/>
        <v>0</v>
      </c>
      <c r="AY114" s="102" t="s">
        <v>369</v>
      </c>
      <c r="AZ114" s="102" t="s">
        <v>386</v>
      </c>
      <c r="BA114" s="93" t="s">
        <v>397</v>
      </c>
      <c r="BC114" s="101">
        <f t="shared" si="133"/>
        <v>0</v>
      </c>
      <c r="BD114" s="101">
        <f t="shared" si="134"/>
        <v>0</v>
      </c>
      <c r="BE114" s="101">
        <v>0</v>
      </c>
      <c r="BF114" s="101">
        <f>114</f>
        <v>114</v>
      </c>
      <c r="BH114" s="99">
        <f t="shared" si="135"/>
        <v>0</v>
      </c>
      <c r="BI114" s="99">
        <f t="shared" si="136"/>
        <v>0</v>
      </c>
      <c r="BJ114" s="99">
        <f t="shared" si="137"/>
        <v>0</v>
      </c>
    </row>
    <row r="115" spans="1:62" ht="12.75">
      <c r="A115" s="30" t="s">
        <v>137</v>
      </c>
      <c r="B115" s="30" t="s">
        <v>223</v>
      </c>
      <c r="C115" s="56" t="s">
        <v>315</v>
      </c>
      <c r="D115" s="49"/>
      <c r="E115" s="57"/>
      <c r="F115" s="30" t="s">
        <v>327</v>
      </c>
      <c r="G115" s="31">
        <f>'Stavební rozpočet'!G139</f>
        <v>2298</v>
      </c>
      <c r="H115" s="110">
        <f>'Stavební rozpočet'!H139</f>
        <v>0</v>
      </c>
      <c r="I115" s="110">
        <f t="shared" si="116"/>
        <v>0</v>
      </c>
      <c r="J115" s="110">
        <f t="shared" si="117"/>
        <v>0</v>
      </c>
      <c r="K115" s="110">
        <f t="shared" si="118"/>
        <v>0</v>
      </c>
      <c r="L115" s="111"/>
      <c r="Z115" s="101">
        <f t="shared" si="119"/>
        <v>0</v>
      </c>
      <c r="AB115" s="101">
        <f t="shared" si="120"/>
        <v>0</v>
      </c>
      <c r="AC115" s="101">
        <f t="shared" si="121"/>
        <v>0</v>
      </c>
      <c r="AD115" s="101">
        <f t="shared" si="122"/>
        <v>0</v>
      </c>
      <c r="AE115" s="101">
        <f t="shared" si="123"/>
        <v>0</v>
      </c>
      <c r="AF115" s="101">
        <f t="shared" si="124"/>
        <v>0</v>
      </c>
      <c r="AG115" s="101">
        <f t="shared" si="125"/>
        <v>0</v>
      </c>
      <c r="AH115" s="101">
        <f t="shared" si="126"/>
        <v>0</v>
      </c>
      <c r="AI115" s="93" t="s">
        <v>364</v>
      </c>
      <c r="AJ115" s="99">
        <f t="shared" si="127"/>
        <v>0</v>
      </c>
      <c r="AK115" s="99">
        <f t="shared" si="128"/>
        <v>0</v>
      </c>
      <c r="AL115" s="99">
        <f t="shared" si="129"/>
        <v>0</v>
      </c>
      <c r="AN115" s="101">
        <v>21</v>
      </c>
      <c r="AO115" s="101">
        <f>H115*0</f>
        <v>0</v>
      </c>
      <c r="AP115" s="101">
        <f>H115*(1-0)</f>
        <v>0</v>
      </c>
      <c r="AQ115" s="100" t="s">
        <v>57</v>
      </c>
      <c r="AV115" s="101">
        <f t="shared" si="130"/>
        <v>0</v>
      </c>
      <c r="AW115" s="101">
        <f t="shared" si="131"/>
        <v>0</v>
      </c>
      <c r="AX115" s="101">
        <f t="shared" si="132"/>
        <v>0</v>
      </c>
      <c r="AY115" s="102" t="s">
        <v>369</v>
      </c>
      <c r="AZ115" s="102" t="s">
        <v>386</v>
      </c>
      <c r="BA115" s="93" t="s">
        <v>397</v>
      </c>
      <c r="BC115" s="101">
        <f t="shared" si="133"/>
        <v>0</v>
      </c>
      <c r="BD115" s="101">
        <f t="shared" si="134"/>
        <v>0</v>
      </c>
      <c r="BE115" s="101">
        <v>0</v>
      </c>
      <c r="BF115" s="101">
        <f>115</f>
        <v>115</v>
      </c>
      <c r="BH115" s="99">
        <f t="shared" si="135"/>
        <v>0</v>
      </c>
      <c r="BI115" s="99">
        <f t="shared" si="136"/>
        <v>0</v>
      </c>
      <c r="BJ115" s="99">
        <f t="shared" si="137"/>
        <v>0</v>
      </c>
    </row>
    <row r="116" spans="1:62" ht="12.75">
      <c r="A116" s="13" t="s">
        <v>138</v>
      </c>
      <c r="B116" s="13" t="s">
        <v>224</v>
      </c>
      <c r="C116" s="48" t="s">
        <v>316</v>
      </c>
      <c r="D116" s="49"/>
      <c r="E116" s="49"/>
      <c r="F116" s="13" t="s">
        <v>327</v>
      </c>
      <c r="G116" s="23">
        <f>'Stavební rozpočet'!G140</f>
        <v>75</v>
      </c>
      <c r="H116" s="99">
        <f>'Stavební rozpočet'!H140</f>
        <v>0</v>
      </c>
      <c r="I116" s="99">
        <f t="shared" si="116"/>
        <v>0</v>
      </c>
      <c r="J116" s="99">
        <f t="shared" si="117"/>
        <v>0</v>
      </c>
      <c r="K116" s="99">
        <f t="shared" si="118"/>
        <v>0</v>
      </c>
      <c r="L116" s="100"/>
      <c r="Z116" s="101">
        <f t="shared" si="119"/>
        <v>0</v>
      </c>
      <c r="AB116" s="101">
        <f t="shared" si="120"/>
        <v>0</v>
      </c>
      <c r="AC116" s="101">
        <f t="shared" si="121"/>
        <v>0</v>
      </c>
      <c r="AD116" s="101">
        <f t="shared" si="122"/>
        <v>0</v>
      </c>
      <c r="AE116" s="101">
        <f t="shared" si="123"/>
        <v>0</v>
      </c>
      <c r="AF116" s="101">
        <f t="shared" si="124"/>
        <v>0</v>
      </c>
      <c r="AG116" s="101">
        <f t="shared" si="125"/>
        <v>0</v>
      </c>
      <c r="AH116" s="101">
        <f t="shared" si="126"/>
        <v>0</v>
      </c>
      <c r="AI116" s="93" t="s">
        <v>364</v>
      </c>
      <c r="AJ116" s="99">
        <f t="shared" si="127"/>
        <v>0</v>
      </c>
      <c r="AK116" s="99">
        <f t="shared" si="128"/>
        <v>0</v>
      </c>
      <c r="AL116" s="99">
        <f t="shared" si="129"/>
        <v>0</v>
      </c>
      <c r="AN116" s="101">
        <v>21</v>
      </c>
      <c r="AO116" s="101">
        <f>H116*1</f>
        <v>0</v>
      </c>
      <c r="AP116" s="101">
        <f>H116*(1-1)</f>
        <v>0</v>
      </c>
      <c r="AQ116" s="100" t="s">
        <v>57</v>
      </c>
      <c r="AV116" s="101">
        <f t="shared" si="130"/>
        <v>0</v>
      </c>
      <c r="AW116" s="101">
        <f t="shared" si="131"/>
        <v>0</v>
      </c>
      <c r="AX116" s="101">
        <f t="shared" si="132"/>
        <v>0</v>
      </c>
      <c r="AY116" s="102" t="s">
        <v>369</v>
      </c>
      <c r="AZ116" s="102" t="s">
        <v>386</v>
      </c>
      <c r="BA116" s="93" t="s">
        <v>397</v>
      </c>
      <c r="BC116" s="101">
        <f t="shared" si="133"/>
        <v>0</v>
      </c>
      <c r="BD116" s="101">
        <f t="shared" si="134"/>
        <v>0</v>
      </c>
      <c r="BE116" s="101">
        <v>0</v>
      </c>
      <c r="BF116" s="101">
        <f>116</f>
        <v>116</v>
      </c>
      <c r="BH116" s="99">
        <f t="shared" si="135"/>
        <v>0</v>
      </c>
      <c r="BI116" s="99">
        <f t="shared" si="136"/>
        <v>0</v>
      </c>
      <c r="BJ116" s="99">
        <f t="shared" si="137"/>
        <v>0</v>
      </c>
    </row>
    <row r="117" spans="1:62" ht="12.75">
      <c r="A117" s="13" t="s">
        <v>139</v>
      </c>
      <c r="B117" s="13" t="s">
        <v>204</v>
      </c>
      <c r="C117" s="48" t="s">
        <v>317</v>
      </c>
      <c r="D117" s="49"/>
      <c r="E117" s="49"/>
      <c r="F117" s="13" t="s">
        <v>324</v>
      </c>
      <c r="G117" s="23">
        <f>'Stavební rozpočet'!G141</f>
        <v>352.5</v>
      </c>
      <c r="H117" s="99">
        <f>'Stavební rozpočet'!H141</f>
        <v>0</v>
      </c>
      <c r="I117" s="99">
        <f t="shared" si="116"/>
        <v>0</v>
      </c>
      <c r="J117" s="99">
        <f t="shared" si="117"/>
        <v>0</v>
      </c>
      <c r="K117" s="99">
        <f t="shared" si="118"/>
        <v>0</v>
      </c>
      <c r="L117" s="100" t="s">
        <v>346</v>
      </c>
      <c r="Z117" s="101">
        <f t="shared" si="119"/>
        <v>0</v>
      </c>
      <c r="AB117" s="101">
        <f t="shared" si="120"/>
        <v>0</v>
      </c>
      <c r="AC117" s="101">
        <f t="shared" si="121"/>
        <v>0</v>
      </c>
      <c r="AD117" s="101">
        <f t="shared" si="122"/>
        <v>0</v>
      </c>
      <c r="AE117" s="101">
        <f t="shared" si="123"/>
        <v>0</v>
      </c>
      <c r="AF117" s="101">
        <f t="shared" si="124"/>
        <v>0</v>
      </c>
      <c r="AG117" s="101">
        <f t="shared" si="125"/>
        <v>0</v>
      </c>
      <c r="AH117" s="101">
        <f t="shared" si="126"/>
        <v>0</v>
      </c>
      <c r="AI117" s="93" t="s">
        <v>364</v>
      </c>
      <c r="AJ117" s="99">
        <f t="shared" si="127"/>
        <v>0</v>
      </c>
      <c r="AK117" s="99">
        <f t="shared" si="128"/>
        <v>0</v>
      </c>
      <c r="AL117" s="99">
        <f t="shared" si="129"/>
        <v>0</v>
      </c>
      <c r="AN117" s="101">
        <v>21</v>
      </c>
      <c r="AO117" s="101">
        <f>H117*0</f>
        <v>0</v>
      </c>
      <c r="AP117" s="101">
        <f>H117*(1-0)</f>
        <v>0</v>
      </c>
      <c r="AQ117" s="100" t="s">
        <v>57</v>
      </c>
      <c r="AV117" s="101">
        <f t="shared" si="130"/>
        <v>0</v>
      </c>
      <c r="AW117" s="101">
        <f t="shared" si="131"/>
        <v>0</v>
      </c>
      <c r="AX117" s="101">
        <f t="shared" si="132"/>
        <v>0</v>
      </c>
      <c r="AY117" s="102" t="s">
        <v>369</v>
      </c>
      <c r="AZ117" s="102" t="s">
        <v>386</v>
      </c>
      <c r="BA117" s="93" t="s">
        <v>397</v>
      </c>
      <c r="BC117" s="101">
        <f t="shared" si="133"/>
        <v>0</v>
      </c>
      <c r="BD117" s="101">
        <f t="shared" si="134"/>
        <v>0</v>
      </c>
      <c r="BE117" s="101">
        <v>0</v>
      </c>
      <c r="BF117" s="101">
        <f>117</f>
        <v>117</v>
      </c>
      <c r="BH117" s="99">
        <f t="shared" si="135"/>
        <v>0</v>
      </c>
      <c r="BI117" s="99">
        <f t="shared" si="136"/>
        <v>0</v>
      </c>
      <c r="BJ117" s="99">
        <f t="shared" si="137"/>
        <v>0</v>
      </c>
    </row>
    <row r="118" spans="1:47" ht="12.75">
      <c r="A118" s="12"/>
      <c r="B118" s="20" t="s">
        <v>205</v>
      </c>
      <c r="C118" s="46" t="s">
        <v>283</v>
      </c>
      <c r="D118" s="47"/>
      <c r="E118" s="47"/>
      <c r="F118" s="12" t="s">
        <v>56</v>
      </c>
      <c r="G118" s="12" t="s">
        <v>56</v>
      </c>
      <c r="H118" s="97" t="s">
        <v>56</v>
      </c>
      <c r="I118" s="98">
        <f>SUM(I119:I119)</f>
        <v>0</v>
      </c>
      <c r="J118" s="98">
        <f>SUM(J119:J119)</f>
        <v>0</v>
      </c>
      <c r="K118" s="98">
        <f>SUM(K119:K119)</f>
        <v>0</v>
      </c>
      <c r="L118" s="93"/>
      <c r="AI118" s="93" t="s">
        <v>364</v>
      </c>
      <c r="AS118" s="98">
        <f>SUM(AJ119:AJ119)</f>
        <v>0</v>
      </c>
      <c r="AT118" s="98">
        <f>SUM(AK119:AK119)</f>
        <v>0</v>
      </c>
      <c r="AU118" s="98">
        <f>SUM(AL119:AL119)</f>
        <v>0</v>
      </c>
    </row>
    <row r="119" spans="1:62" ht="12.75">
      <c r="A119" s="26" t="s">
        <v>140</v>
      </c>
      <c r="B119" s="26" t="s">
        <v>206</v>
      </c>
      <c r="C119" s="60" t="s">
        <v>284</v>
      </c>
      <c r="D119" s="61"/>
      <c r="E119" s="61"/>
      <c r="F119" s="26" t="s">
        <v>328</v>
      </c>
      <c r="G119" s="27">
        <f>'Stavební rozpočet'!G143</f>
        <v>0.08</v>
      </c>
      <c r="H119" s="119">
        <f>'Stavební rozpočet'!H143</f>
        <v>0</v>
      </c>
      <c r="I119" s="119">
        <f>G119*AO119</f>
        <v>0</v>
      </c>
      <c r="J119" s="119">
        <f>G119*AP119</f>
        <v>0</v>
      </c>
      <c r="K119" s="119">
        <f>G119*H119</f>
        <v>0</v>
      </c>
      <c r="L119" s="120" t="s">
        <v>346</v>
      </c>
      <c r="Z119" s="101">
        <f>IF(AQ119="5",BJ119,0)</f>
        <v>0</v>
      </c>
      <c r="AB119" s="101">
        <f>IF(AQ119="1",BH119,0)</f>
        <v>0</v>
      </c>
      <c r="AC119" s="101">
        <f>IF(AQ119="1",BI119,0)</f>
        <v>0</v>
      </c>
      <c r="AD119" s="101">
        <f>IF(AQ119="7",BH119,0)</f>
        <v>0</v>
      </c>
      <c r="AE119" s="101">
        <f>IF(AQ119="7",BI119,0)</f>
        <v>0</v>
      </c>
      <c r="AF119" s="101">
        <f>IF(AQ119="2",BH119,0)</f>
        <v>0</v>
      </c>
      <c r="AG119" s="101">
        <f>IF(AQ119="2",BI119,0)</f>
        <v>0</v>
      </c>
      <c r="AH119" s="101">
        <f>IF(AQ119="0",BJ119,0)</f>
        <v>0</v>
      </c>
      <c r="AI119" s="93" t="s">
        <v>364</v>
      </c>
      <c r="AJ119" s="99">
        <f>IF(AN119=0,K119,0)</f>
        <v>0</v>
      </c>
      <c r="AK119" s="99">
        <f>IF(AN119=15,K119,0)</f>
        <v>0</v>
      </c>
      <c r="AL119" s="99">
        <f>IF(AN119=21,K119,0)</f>
        <v>0</v>
      </c>
      <c r="AN119" s="101">
        <v>21</v>
      </c>
      <c r="AO119" s="101">
        <f>H119*0</f>
        <v>0</v>
      </c>
      <c r="AP119" s="101">
        <f>H119*(1-0)</f>
        <v>0</v>
      </c>
      <c r="AQ119" s="100" t="s">
        <v>61</v>
      </c>
      <c r="AV119" s="101">
        <f>AW119+AX119</f>
        <v>0</v>
      </c>
      <c r="AW119" s="101">
        <f>G119*AO119</f>
        <v>0</v>
      </c>
      <c r="AX119" s="101">
        <f>G119*AP119</f>
        <v>0</v>
      </c>
      <c r="AY119" s="102" t="s">
        <v>370</v>
      </c>
      <c r="AZ119" s="102" t="s">
        <v>387</v>
      </c>
      <c r="BA119" s="93" t="s">
        <v>397</v>
      </c>
      <c r="BC119" s="101">
        <f>AW119+AX119</f>
        <v>0</v>
      </c>
      <c r="BD119" s="101">
        <f>H119/(100-BE119)*100</f>
        <v>0</v>
      </c>
      <c r="BE119" s="101">
        <v>0</v>
      </c>
      <c r="BF119" s="101">
        <f>119</f>
        <v>119</v>
      </c>
      <c r="BH119" s="99">
        <f>G119*AO119</f>
        <v>0</v>
      </c>
      <c r="BI119" s="99">
        <f>G119*AP119</f>
        <v>0</v>
      </c>
      <c r="BJ119" s="99">
        <f>G119*H119</f>
        <v>0</v>
      </c>
    </row>
    <row r="120" spans="1:12" ht="12.75">
      <c r="A120" s="114"/>
      <c r="B120" s="114"/>
      <c r="C120" s="114"/>
      <c r="D120" s="114"/>
      <c r="E120" s="114"/>
      <c r="F120" s="114"/>
      <c r="G120" s="114"/>
      <c r="H120" s="114"/>
      <c r="I120" s="115" t="s">
        <v>340</v>
      </c>
      <c r="J120" s="116"/>
      <c r="K120" s="117">
        <f>K13+K32+K53+K57+K61+K78+K80+K87+K90+K92+K99+K102+K108+K111+K118</f>
        <v>0</v>
      </c>
      <c r="L120" s="114"/>
    </row>
    <row r="121" ht="10.5" customHeight="1">
      <c r="A121" s="118" t="s">
        <v>18</v>
      </c>
    </row>
    <row r="122" spans="1:12" ht="12.75" customHeight="1">
      <c r="A122" s="77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</row>
  </sheetData>
  <sheetProtection password="CC09" sheet="1" objects="1" scenarios="1" selectLockedCells="1"/>
  <mergeCells count="138">
    <mergeCell ref="C117:E117"/>
    <mergeCell ref="C118:E118"/>
    <mergeCell ref="C119:E119"/>
    <mergeCell ref="I120:J120"/>
    <mergeCell ref="A122:L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64" customWidth="1"/>
    <col min="2" max="2" width="14.28125" style="64" customWidth="1"/>
    <col min="3" max="3" width="98.421875" style="64" customWidth="1"/>
    <col min="4" max="5" width="12.140625" style="64" customWidth="1"/>
    <col min="6" max="6" width="4.28125" style="64" customWidth="1"/>
    <col min="7" max="7" width="12.8515625" style="64" customWidth="1"/>
    <col min="8" max="8" width="12.00390625" style="64" customWidth="1"/>
    <col min="9" max="11" width="14.28125" style="64" customWidth="1"/>
    <col min="12" max="12" width="14.7109375" style="64" customWidth="1"/>
    <col min="13" max="24" width="11.57421875" style="64" customWidth="1"/>
    <col min="25" max="62" width="9.7109375" style="64" hidden="1" customWidth="1"/>
    <col min="63" max="16384" width="11.57421875" style="64" customWidth="1"/>
  </cols>
  <sheetData>
    <row r="1" spans="1:12" ht="72.75" customHeight="1">
      <c r="A1" s="62" t="s">
        <v>402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5" t="s">
        <v>0</v>
      </c>
      <c r="B2" s="66"/>
      <c r="C2" s="67" t="str">
        <f>'Stavební rozpočet'!C2</f>
        <v>Revitalizace krajinářského parku Mošnice v Kladrubech nad Labem - podpora biodiverzity</v>
      </c>
      <c r="D2" s="68" t="s">
        <v>319</v>
      </c>
      <c r="E2" s="66"/>
      <c r="F2" s="69" t="str">
        <f>'Stavební rozpočet'!F2</f>
        <v> </v>
      </c>
      <c r="G2" s="66"/>
      <c r="H2" s="69" t="s">
        <v>29</v>
      </c>
      <c r="I2" s="69" t="str">
        <f>'Stavební rozpočet'!I2</f>
        <v>Národní hřebčín Kladruby nad Labem</v>
      </c>
      <c r="J2" s="66"/>
      <c r="K2" s="66"/>
      <c r="L2" s="70"/>
      <c r="M2" s="71"/>
    </row>
    <row r="3" spans="1:13" ht="12.75">
      <c r="A3" s="72"/>
      <c r="B3" s="73"/>
      <c r="C3" s="74"/>
      <c r="D3" s="73"/>
      <c r="E3" s="73"/>
      <c r="F3" s="73"/>
      <c r="G3" s="73"/>
      <c r="H3" s="73"/>
      <c r="I3" s="73"/>
      <c r="J3" s="73"/>
      <c r="K3" s="73"/>
      <c r="L3" s="75"/>
      <c r="M3" s="71"/>
    </row>
    <row r="4" spans="1:13" ht="12.75">
      <c r="A4" s="76" t="s">
        <v>1</v>
      </c>
      <c r="B4" s="73"/>
      <c r="C4" s="77" t="str">
        <f>'Stavební rozpočet'!C4</f>
        <v>Kácení stromů, odstr. keřů, návrh pěstebních opatření, výsadby dřevin, výsev trávníku</v>
      </c>
      <c r="D4" s="78" t="s">
        <v>3</v>
      </c>
      <c r="E4" s="73"/>
      <c r="F4" s="77" t="str">
        <f>'Stavební rozpočet'!F4</f>
        <v> </v>
      </c>
      <c r="G4" s="73"/>
      <c r="H4" s="77" t="s">
        <v>30</v>
      </c>
      <c r="I4" s="77" t="str">
        <f>'Stavební rozpočet'!I4</f>
        <v>Ing. Přemysl Krejčiřík, Ph.D.</v>
      </c>
      <c r="J4" s="73"/>
      <c r="K4" s="73"/>
      <c r="L4" s="75"/>
      <c r="M4" s="71"/>
    </row>
    <row r="5" spans="1:13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5"/>
      <c r="M5" s="71"/>
    </row>
    <row r="6" spans="1:13" ht="12.75">
      <c r="A6" s="76" t="s">
        <v>2</v>
      </c>
      <c r="B6" s="73"/>
      <c r="C6" s="77" t="str">
        <f>'Stavební rozpočet'!C6</f>
        <v>Kladruby nad Labem</v>
      </c>
      <c r="D6" s="78" t="s">
        <v>32</v>
      </c>
      <c r="E6" s="73"/>
      <c r="F6" s="77" t="str">
        <f>'Stavební rozpočet'!F6</f>
        <v> </v>
      </c>
      <c r="G6" s="73"/>
      <c r="H6" s="77" t="s">
        <v>31</v>
      </c>
      <c r="I6" s="77" t="str">
        <f>'Stavební rozpočet'!I6</f>
        <v> </v>
      </c>
      <c r="J6" s="73"/>
      <c r="K6" s="73"/>
      <c r="L6" s="75"/>
      <c r="M6" s="71"/>
    </row>
    <row r="7" spans="1:13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5"/>
      <c r="M7" s="71"/>
    </row>
    <row r="8" spans="1:13" ht="12.75">
      <c r="A8" s="76" t="s">
        <v>4</v>
      </c>
      <c r="B8" s="73"/>
      <c r="C8" s="77" t="str">
        <f>'Stavební rozpočet'!C8</f>
        <v> </v>
      </c>
      <c r="D8" s="78" t="s">
        <v>320</v>
      </c>
      <c r="E8" s="73"/>
      <c r="F8" s="77" t="str">
        <f>'Stavební rozpočet'!F8</f>
        <v>15.03.2018</v>
      </c>
      <c r="G8" s="73"/>
      <c r="H8" s="77" t="s">
        <v>33</v>
      </c>
      <c r="I8" s="77" t="str">
        <f>'Stavební rozpočet'!I8</f>
        <v>Ing. Martina Zimmermanová</v>
      </c>
      <c r="J8" s="73"/>
      <c r="K8" s="73"/>
      <c r="L8" s="75"/>
      <c r="M8" s="71"/>
    </row>
    <row r="9" spans="1:13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71"/>
    </row>
    <row r="10" spans="1:13" ht="12.75">
      <c r="A10" s="9" t="s">
        <v>55</v>
      </c>
      <c r="B10" s="17" t="s">
        <v>162</v>
      </c>
      <c r="C10" s="38" t="s">
        <v>228</v>
      </c>
      <c r="D10" s="39"/>
      <c r="E10" s="40"/>
      <c r="F10" s="17" t="s">
        <v>322</v>
      </c>
      <c r="G10" s="22" t="s">
        <v>331</v>
      </c>
      <c r="H10" s="82" t="s">
        <v>332</v>
      </c>
      <c r="I10" s="83" t="s">
        <v>338</v>
      </c>
      <c r="J10" s="84"/>
      <c r="K10" s="85"/>
      <c r="L10" s="86" t="s">
        <v>342</v>
      </c>
      <c r="M10" s="87"/>
    </row>
    <row r="11" spans="1:62" ht="12.75">
      <c r="A11" s="10" t="s">
        <v>56</v>
      </c>
      <c r="B11" s="18" t="s">
        <v>56</v>
      </c>
      <c r="C11" s="41" t="s">
        <v>229</v>
      </c>
      <c r="D11" s="42"/>
      <c r="E11" s="43"/>
      <c r="F11" s="18" t="s">
        <v>56</v>
      </c>
      <c r="G11" s="18" t="s">
        <v>56</v>
      </c>
      <c r="H11" s="88" t="s">
        <v>333</v>
      </c>
      <c r="I11" s="89" t="s">
        <v>339</v>
      </c>
      <c r="J11" s="90" t="s">
        <v>21</v>
      </c>
      <c r="K11" s="91" t="s">
        <v>341</v>
      </c>
      <c r="L11" s="92" t="s">
        <v>343</v>
      </c>
      <c r="M11" s="87"/>
      <c r="Z11" s="93" t="s">
        <v>347</v>
      </c>
      <c r="AA11" s="93" t="s">
        <v>348</v>
      </c>
      <c r="AB11" s="93" t="s">
        <v>349</v>
      </c>
      <c r="AC11" s="93" t="s">
        <v>350</v>
      </c>
      <c r="AD11" s="93" t="s">
        <v>351</v>
      </c>
      <c r="AE11" s="93" t="s">
        <v>352</v>
      </c>
      <c r="AF11" s="93" t="s">
        <v>353</v>
      </c>
      <c r="AG11" s="93" t="s">
        <v>354</v>
      </c>
      <c r="AH11" s="93" t="s">
        <v>355</v>
      </c>
      <c r="BH11" s="93" t="s">
        <v>398</v>
      </c>
      <c r="BI11" s="93" t="s">
        <v>399</v>
      </c>
      <c r="BJ11" s="93" t="s">
        <v>400</v>
      </c>
    </row>
    <row r="12" spans="1:12" ht="12.75">
      <c r="A12" s="11"/>
      <c r="B12" s="19"/>
      <c r="C12" s="44" t="s">
        <v>273</v>
      </c>
      <c r="D12" s="45"/>
      <c r="E12" s="45"/>
      <c r="F12" s="11" t="s">
        <v>56</v>
      </c>
      <c r="G12" s="11" t="s">
        <v>56</v>
      </c>
      <c r="H12" s="94" t="s">
        <v>56</v>
      </c>
      <c r="I12" s="95">
        <f>I13</f>
        <v>0</v>
      </c>
      <c r="J12" s="95">
        <f>J13</f>
        <v>0</v>
      </c>
      <c r="K12" s="95">
        <f>K13</f>
        <v>0</v>
      </c>
      <c r="L12" s="96"/>
    </row>
    <row r="13" spans="1:47" ht="12.75">
      <c r="A13" s="12"/>
      <c r="B13" s="20"/>
      <c r="C13" s="46" t="s">
        <v>10</v>
      </c>
      <c r="D13" s="47"/>
      <c r="E13" s="47"/>
      <c r="F13" s="12" t="s">
        <v>56</v>
      </c>
      <c r="G13" s="12" t="s">
        <v>56</v>
      </c>
      <c r="H13" s="97" t="s">
        <v>56</v>
      </c>
      <c r="I13" s="98">
        <f>SUM(I14:I20)</f>
        <v>0</v>
      </c>
      <c r="J13" s="98">
        <f>SUM(J14:J20)</f>
        <v>0</v>
      </c>
      <c r="K13" s="98">
        <f>SUM(K14:K20)</f>
        <v>0</v>
      </c>
      <c r="L13" s="93"/>
      <c r="AI13" s="93" t="s">
        <v>361</v>
      </c>
      <c r="AS13" s="98">
        <f>SUM(AJ14:AJ20)</f>
        <v>0</v>
      </c>
      <c r="AT13" s="98">
        <f>SUM(AK14:AK20)</f>
        <v>0</v>
      </c>
      <c r="AU13" s="98">
        <f>SUM(AL14:AL20)</f>
        <v>0</v>
      </c>
    </row>
    <row r="14" spans="1:62" ht="12.75">
      <c r="A14" s="28" t="s">
        <v>57</v>
      </c>
      <c r="B14" s="28" t="s">
        <v>207</v>
      </c>
      <c r="C14" s="52" t="s">
        <v>285</v>
      </c>
      <c r="D14" s="53"/>
      <c r="E14" s="54"/>
      <c r="F14" s="28" t="s">
        <v>327</v>
      </c>
      <c r="G14" s="29">
        <f>'Stavební rozpočet'!G90</f>
        <v>2700</v>
      </c>
      <c r="H14" s="106">
        <f>'Stavební rozpočet'!H90</f>
        <v>0</v>
      </c>
      <c r="I14" s="106">
        <f aca="true" t="shared" si="0" ref="I14:I20">G14*AO14</f>
        <v>0</v>
      </c>
      <c r="J14" s="106">
        <f aca="true" t="shared" si="1" ref="J14:J20">G14*AP14</f>
        <v>0</v>
      </c>
      <c r="K14" s="106">
        <f aca="true" t="shared" si="2" ref="K14:K20">G14*H14</f>
        <v>0</v>
      </c>
      <c r="L14" s="107"/>
      <c r="Z14" s="101">
        <f aca="true" t="shared" si="3" ref="Z14:Z20">IF(AQ14="5",BJ14,0)</f>
        <v>0</v>
      </c>
      <c r="AB14" s="101">
        <f aca="true" t="shared" si="4" ref="AB14:AB20">IF(AQ14="1",BH14,0)</f>
        <v>0</v>
      </c>
      <c r="AC14" s="101">
        <f aca="true" t="shared" si="5" ref="AC14:AC20">IF(AQ14="1",BI14,0)</f>
        <v>0</v>
      </c>
      <c r="AD14" s="101">
        <f aca="true" t="shared" si="6" ref="AD14:AD20">IF(AQ14="7",BH14,0)</f>
        <v>0</v>
      </c>
      <c r="AE14" s="101">
        <f aca="true" t="shared" si="7" ref="AE14:AE20">IF(AQ14="7",BI14,0)</f>
        <v>0</v>
      </c>
      <c r="AF14" s="101">
        <f aca="true" t="shared" si="8" ref="AF14:AF20">IF(AQ14="2",BH14,0)</f>
        <v>0</v>
      </c>
      <c r="AG14" s="101">
        <f aca="true" t="shared" si="9" ref="AG14:AG20">IF(AQ14="2",BI14,0)</f>
        <v>0</v>
      </c>
      <c r="AH14" s="101">
        <f aca="true" t="shared" si="10" ref="AH14:AH20">IF(AQ14="0",BJ14,0)</f>
        <v>0</v>
      </c>
      <c r="AI14" s="93" t="s">
        <v>361</v>
      </c>
      <c r="AJ14" s="108">
        <f aca="true" t="shared" si="11" ref="AJ14:AJ20">IF(AN14=0,K14,0)</f>
        <v>0</v>
      </c>
      <c r="AK14" s="108">
        <f aca="true" t="shared" si="12" ref="AK14:AK20">IF(AN14=15,K14,0)</f>
        <v>0</v>
      </c>
      <c r="AL14" s="108">
        <f aca="true" t="shared" si="13" ref="AL14:AL20">IF(AN14=21,K14,0)</f>
        <v>0</v>
      </c>
      <c r="AN14" s="101">
        <v>21</v>
      </c>
      <c r="AO14" s="101">
        <f aca="true" t="shared" si="14" ref="AO14:AO20">H14*1</f>
        <v>0</v>
      </c>
      <c r="AP14" s="101">
        <f aca="true" t="shared" si="15" ref="AP14:AP20">H14*(1-1)</f>
        <v>0</v>
      </c>
      <c r="AQ14" s="109" t="s">
        <v>365</v>
      </c>
      <c r="AV14" s="101">
        <f aca="true" t="shared" si="16" ref="AV14:AV20">AW14+AX14</f>
        <v>0</v>
      </c>
      <c r="AW14" s="101">
        <f aca="true" t="shared" si="17" ref="AW14:AW20">G14*AO14</f>
        <v>0</v>
      </c>
      <c r="AX14" s="101">
        <f aca="true" t="shared" si="18" ref="AX14:AX20">G14*AP14</f>
        <v>0</v>
      </c>
      <c r="AY14" s="102" t="s">
        <v>371</v>
      </c>
      <c r="AZ14" s="102" t="s">
        <v>379</v>
      </c>
      <c r="BA14" s="93" t="s">
        <v>394</v>
      </c>
      <c r="BC14" s="101">
        <f aca="true" t="shared" si="19" ref="BC14:BC20">AW14+AX14</f>
        <v>0</v>
      </c>
      <c r="BD14" s="101">
        <f aca="true" t="shared" si="20" ref="BD14:BD20">H14/(100-BE14)*100</f>
        <v>0</v>
      </c>
      <c r="BE14" s="101">
        <v>0</v>
      </c>
      <c r="BF14" s="101">
        <f>14</f>
        <v>14</v>
      </c>
      <c r="BH14" s="108">
        <f aca="true" t="shared" si="21" ref="BH14:BH20">G14*AO14</f>
        <v>0</v>
      </c>
      <c r="BI14" s="108">
        <f aca="true" t="shared" si="22" ref="BI14:BI20">G14*AP14</f>
        <v>0</v>
      </c>
      <c r="BJ14" s="108">
        <f aca="true" t="shared" si="23" ref="BJ14:BJ20">G14*H14</f>
        <v>0</v>
      </c>
    </row>
    <row r="15" spans="1:62" ht="12.75">
      <c r="A15" s="15" t="s">
        <v>58</v>
      </c>
      <c r="B15" s="15" t="s">
        <v>208</v>
      </c>
      <c r="C15" s="55" t="s">
        <v>286</v>
      </c>
      <c r="D15" s="53"/>
      <c r="E15" s="53"/>
      <c r="F15" s="15" t="s">
        <v>329</v>
      </c>
      <c r="G15" s="24">
        <f>'Stavební rozpočet'!G91</f>
        <v>338</v>
      </c>
      <c r="H15" s="108">
        <f>'Stavební rozpočet'!H91</f>
        <v>0</v>
      </c>
      <c r="I15" s="108">
        <f t="shared" si="0"/>
        <v>0</v>
      </c>
      <c r="J15" s="108">
        <f t="shared" si="1"/>
        <v>0</v>
      </c>
      <c r="K15" s="108">
        <f t="shared" si="2"/>
        <v>0</v>
      </c>
      <c r="L15" s="109"/>
      <c r="Z15" s="101">
        <f t="shared" si="3"/>
        <v>0</v>
      </c>
      <c r="AB15" s="101">
        <f t="shared" si="4"/>
        <v>0</v>
      </c>
      <c r="AC15" s="101">
        <f t="shared" si="5"/>
        <v>0</v>
      </c>
      <c r="AD15" s="101">
        <f t="shared" si="6"/>
        <v>0</v>
      </c>
      <c r="AE15" s="101">
        <f t="shared" si="7"/>
        <v>0</v>
      </c>
      <c r="AF15" s="101">
        <f t="shared" si="8"/>
        <v>0</v>
      </c>
      <c r="AG15" s="101">
        <f t="shared" si="9"/>
        <v>0</v>
      </c>
      <c r="AH15" s="101">
        <f t="shared" si="10"/>
        <v>0</v>
      </c>
      <c r="AI15" s="93" t="s">
        <v>361</v>
      </c>
      <c r="AJ15" s="108">
        <f t="shared" si="11"/>
        <v>0</v>
      </c>
      <c r="AK15" s="108">
        <f t="shared" si="12"/>
        <v>0</v>
      </c>
      <c r="AL15" s="108">
        <f t="shared" si="13"/>
        <v>0</v>
      </c>
      <c r="AN15" s="101">
        <v>21</v>
      </c>
      <c r="AO15" s="101">
        <f t="shared" si="14"/>
        <v>0</v>
      </c>
      <c r="AP15" s="101">
        <f t="shared" si="15"/>
        <v>0</v>
      </c>
      <c r="AQ15" s="109" t="s">
        <v>365</v>
      </c>
      <c r="AV15" s="101">
        <f t="shared" si="16"/>
        <v>0</v>
      </c>
      <c r="AW15" s="101">
        <f t="shared" si="17"/>
        <v>0</v>
      </c>
      <c r="AX15" s="101">
        <f t="shared" si="18"/>
        <v>0</v>
      </c>
      <c r="AY15" s="102" t="s">
        <v>371</v>
      </c>
      <c r="AZ15" s="102" t="s">
        <v>379</v>
      </c>
      <c r="BA15" s="93" t="s">
        <v>394</v>
      </c>
      <c r="BC15" s="101">
        <f t="shared" si="19"/>
        <v>0</v>
      </c>
      <c r="BD15" s="101">
        <f t="shared" si="20"/>
        <v>0</v>
      </c>
      <c r="BE15" s="101">
        <v>0</v>
      </c>
      <c r="BF15" s="101">
        <f>15</f>
        <v>15</v>
      </c>
      <c r="BH15" s="108">
        <f t="shared" si="21"/>
        <v>0</v>
      </c>
      <c r="BI15" s="108">
        <f t="shared" si="22"/>
        <v>0</v>
      </c>
      <c r="BJ15" s="108">
        <f t="shared" si="23"/>
        <v>0</v>
      </c>
    </row>
    <row r="16" spans="1:62" ht="12.75">
      <c r="A16" s="15" t="s">
        <v>59</v>
      </c>
      <c r="B16" s="15" t="s">
        <v>209</v>
      </c>
      <c r="C16" s="55" t="s">
        <v>287</v>
      </c>
      <c r="D16" s="53"/>
      <c r="E16" s="53"/>
      <c r="F16" s="15" t="s">
        <v>327</v>
      </c>
      <c r="G16" s="24">
        <f>'Stavební rozpočet'!G92</f>
        <v>675</v>
      </c>
      <c r="H16" s="108">
        <f>'Stavební rozpočet'!H92</f>
        <v>0</v>
      </c>
      <c r="I16" s="108">
        <f t="shared" si="0"/>
        <v>0</v>
      </c>
      <c r="J16" s="108">
        <f t="shared" si="1"/>
        <v>0</v>
      </c>
      <c r="K16" s="108">
        <f t="shared" si="2"/>
        <v>0</v>
      </c>
      <c r="L16" s="109"/>
      <c r="Z16" s="101">
        <f t="shared" si="3"/>
        <v>0</v>
      </c>
      <c r="AB16" s="101">
        <f t="shared" si="4"/>
        <v>0</v>
      </c>
      <c r="AC16" s="101">
        <f t="shared" si="5"/>
        <v>0</v>
      </c>
      <c r="AD16" s="101">
        <f t="shared" si="6"/>
        <v>0</v>
      </c>
      <c r="AE16" s="101">
        <f t="shared" si="7"/>
        <v>0</v>
      </c>
      <c r="AF16" s="101">
        <f t="shared" si="8"/>
        <v>0</v>
      </c>
      <c r="AG16" s="101">
        <f t="shared" si="9"/>
        <v>0</v>
      </c>
      <c r="AH16" s="101">
        <f t="shared" si="10"/>
        <v>0</v>
      </c>
      <c r="AI16" s="93" t="s">
        <v>361</v>
      </c>
      <c r="AJ16" s="108">
        <f t="shared" si="11"/>
        <v>0</v>
      </c>
      <c r="AK16" s="108">
        <f t="shared" si="12"/>
        <v>0</v>
      </c>
      <c r="AL16" s="108">
        <f t="shared" si="13"/>
        <v>0</v>
      </c>
      <c r="AN16" s="101">
        <v>21</v>
      </c>
      <c r="AO16" s="101">
        <f t="shared" si="14"/>
        <v>0</v>
      </c>
      <c r="AP16" s="101">
        <f t="shared" si="15"/>
        <v>0</v>
      </c>
      <c r="AQ16" s="109" t="s">
        <v>365</v>
      </c>
      <c r="AV16" s="101">
        <f t="shared" si="16"/>
        <v>0</v>
      </c>
      <c r="AW16" s="101">
        <f t="shared" si="17"/>
        <v>0</v>
      </c>
      <c r="AX16" s="101">
        <f t="shared" si="18"/>
        <v>0</v>
      </c>
      <c r="AY16" s="102" t="s">
        <v>371</v>
      </c>
      <c r="AZ16" s="102" t="s">
        <v>379</v>
      </c>
      <c r="BA16" s="93" t="s">
        <v>394</v>
      </c>
      <c r="BC16" s="101">
        <f t="shared" si="19"/>
        <v>0</v>
      </c>
      <c r="BD16" s="101">
        <f t="shared" si="20"/>
        <v>0</v>
      </c>
      <c r="BE16" s="101">
        <v>0</v>
      </c>
      <c r="BF16" s="101">
        <f>16</f>
        <v>16</v>
      </c>
      <c r="BH16" s="108">
        <f t="shared" si="21"/>
        <v>0</v>
      </c>
      <c r="BI16" s="108">
        <f t="shared" si="22"/>
        <v>0</v>
      </c>
      <c r="BJ16" s="108">
        <f t="shared" si="23"/>
        <v>0</v>
      </c>
    </row>
    <row r="17" spans="1:62" ht="12.75">
      <c r="A17" s="15" t="s">
        <v>60</v>
      </c>
      <c r="B17" s="15" t="s">
        <v>210</v>
      </c>
      <c r="C17" s="55" t="s">
        <v>288</v>
      </c>
      <c r="D17" s="53"/>
      <c r="E17" s="53"/>
      <c r="F17" s="15" t="s">
        <v>327</v>
      </c>
      <c r="G17" s="24">
        <f>'Stavební rozpočet'!G93</f>
        <v>675</v>
      </c>
      <c r="H17" s="108">
        <f>'Stavební rozpočet'!H93</f>
        <v>0</v>
      </c>
      <c r="I17" s="108">
        <f t="shared" si="0"/>
        <v>0</v>
      </c>
      <c r="J17" s="108">
        <f t="shared" si="1"/>
        <v>0</v>
      </c>
      <c r="K17" s="108">
        <f t="shared" si="2"/>
        <v>0</v>
      </c>
      <c r="L17" s="109"/>
      <c r="Z17" s="101">
        <f t="shared" si="3"/>
        <v>0</v>
      </c>
      <c r="AB17" s="101">
        <f t="shared" si="4"/>
        <v>0</v>
      </c>
      <c r="AC17" s="101">
        <f t="shared" si="5"/>
        <v>0</v>
      </c>
      <c r="AD17" s="101">
        <f t="shared" si="6"/>
        <v>0</v>
      </c>
      <c r="AE17" s="101">
        <f t="shared" si="7"/>
        <v>0</v>
      </c>
      <c r="AF17" s="101">
        <f t="shared" si="8"/>
        <v>0</v>
      </c>
      <c r="AG17" s="101">
        <f t="shared" si="9"/>
        <v>0</v>
      </c>
      <c r="AH17" s="101">
        <f t="shared" si="10"/>
        <v>0</v>
      </c>
      <c r="AI17" s="93" t="s">
        <v>361</v>
      </c>
      <c r="AJ17" s="108">
        <f t="shared" si="11"/>
        <v>0</v>
      </c>
      <c r="AK17" s="108">
        <f t="shared" si="12"/>
        <v>0</v>
      </c>
      <c r="AL17" s="108">
        <f t="shared" si="13"/>
        <v>0</v>
      </c>
      <c r="AN17" s="101">
        <v>21</v>
      </c>
      <c r="AO17" s="101">
        <f t="shared" si="14"/>
        <v>0</v>
      </c>
      <c r="AP17" s="101">
        <f t="shared" si="15"/>
        <v>0</v>
      </c>
      <c r="AQ17" s="109" t="s">
        <v>365</v>
      </c>
      <c r="AV17" s="101">
        <f t="shared" si="16"/>
        <v>0</v>
      </c>
      <c r="AW17" s="101">
        <f t="shared" si="17"/>
        <v>0</v>
      </c>
      <c r="AX17" s="101">
        <f t="shared" si="18"/>
        <v>0</v>
      </c>
      <c r="AY17" s="102" t="s">
        <v>371</v>
      </c>
      <c r="AZ17" s="102" t="s">
        <v>379</v>
      </c>
      <c r="BA17" s="93" t="s">
        <v>394</v>
      </c>
      <c r="BC17" s="101">
        <f t="shared" si="19"/>
        <v>0</v>
      </c>
      <c r="BD17" s="101">
        <f t="shared" si="20"/>
        <v>0</v>
      </c>
      <c r="BE17" s="101">
        <v>0</v>
      </c>
      <c r="BF17" s="101">
        <f>17</f>
        <v>17</v>
      </c>
      <c r="BH17" s="108">
        <f t="shared" si="21"/>
        <v>0</v>
      </c>
      <c r="BI17" s="108">
        <f t="shared" si="22"/>
        <v>0</v>
      </c>
      <c r="BJ17" s="108">
        <f t="shared" si="23"/>
        <v>0</v>
      </c>
    </row>
    <row r="18" spans="1:62" ht="12.75">
      <c r="A18" s="15" t="s">
        <v>61</v>
      </c>
      <c r="B18" s="15" t="s">
        <v>211</v>
      </c>
      <c r="C18" s="55" t="s">
        <v>289</v>
      </c>
      <c r="D18" s="53"/>
      <c r="E18" s="53"/>
      <c r="F18" s="15" t="s">
        <v>327</v>
      </c>
      <c r="G18" s="24">
        <f>'Stavební rozpočet'!G94</f>
        <v>675</v>
      </c>
      <c r="H18" s="108">
        <f>'Stavební rozpočet'!H94</f>
        <v>0</v>
      </c>
      <c r="I18" s="108">
        <f t="shared" si="0"/>
        <v>0</v>
      </c>
      <c r="J18" s="108">
        <f t="shared" si="1"/>
        <v>0</v>
      </c>
      <c r="K18" s="108">
        <f t="shared" si="2"/>
        <v>0</v>
      </c>
      <c r="L18" s="109"/>
      <c r="Z18" s="101">
        <f t="shared" si="3"/>
        <v>0</v>
      </c>
      <c r="AB18" s="101">
        <f t="shared" si="4"/>
        <v>0</v>
      </c>
      <c r="AC18" s="101">
        <f t="shared" si="5"/>
        <v>0</v>
      </c>
      <c r="AD18" s="101">
        <f t="shared" si="6"/>
        <v>0</v>
      </c>
      <c r="AE18" s="101">
        <f t="shared" si="7"/>
        <v>0</v>
      </c>
      <c r="AF18" s="101">
        <f t="shared" si="8"/>
        <v>0</v>
      </c>
      <c r="AG18" s="101">
        <f t="shared" si="9"/>
        <v>0</v>
      </c>
      <c r="AH18" s="101">
        <f t="shared" si="10"/>
        <v>0</v>
      </c>
      <c r="AI18" s="93" t="s">
        <v>361</v>
      </c>
      <c r="AJ18" s="108">
        <f t="shared" si="11"/>
        <v>0</v>
      </c>
      <c r="AK18" s="108">
        <f t="shared" si="12"/>
        <v>0</v>
      </c>
      <c r="AL18" s="108">
        <f t="shared" si="13"/>
        <v>0</v>
      </c>
      <c r="AN18" s="101">
        <v>21</v>
      </c>
      <c r="AO18" s="101">
        <f t="shared" si="14"/>
        <v>0</v>
      </c>
      <c r="AP18" s="101">
        <f t="shared" si="15"/>
        <v>0</v>
      </c>
      <c r="AQ18" s="109" t="s">
        <v>365</v>
      </c>
      <c r="AV18" s="101">
        <f t="shared" si="16"/>
        <v>0</v>
      </c>
      <c r="AW18" s="101">
        <f t="shared" si="17"/>
        <v>0</v>
      </c>
      <c r="AX18" s="101">
        <f t="shared" si="18"/>
        <v>0</v>
      </c>
      <c r="AY18" s="102" t="s">
        <v>371</v>
      </c>
      <c r="AZ18" s="102" t="s">
        <v>379</v>
      </c>
      <c r="BA18" s="93" t="s">
        <v>394</v>
      </c>
      <c r="BC18" s="101">
        <f t="shared" si="19"/>
        <v>0</v>
      </c>
      <c r="BD18" s="101">
        <f t="shared" si="20"/>
        <v>0</v>
      </c>
      <c r="BE18" s="101">
        <v>0</v>
      </c>
      <c r="BF18" s="101">
        <f>18</f>
        <v>18</v>
      </c>
      <c r="BH18" s="108">
        <f t="shared" si="21"/>
        <v>0</v>
      </c>
      <c r="BI18" s="108">
        <f t="shared" si="22"/>
        <v>0</v>
      </c>
      <c r="BJ18" s="108">
        <f t="shared" si="23"/>
        <v>0</v>
      </c>
    </row>
    <row r="19" spans="1:62" ht="12.75">
      <c r="A19" s="15" t="s">
        <v>62</v>
      </c>
      <c r="B19" s="15" t="s">
        <v>212</v>
      </c>
      <c r="C19" s="55" t="s">
        <v>290</v>
      </c>
      <c r="D19" s="53"/>
      <c r="E19" s="53"/>
      <c r="F19" s="15" t="s">
        <v>324</v>
      </c>
      <c r="G19" s="24">
        <f>'Stavební rozpočet'!G95</f>
        <v>18</v>
      </c>
      <c r="H19" s="108">
        <f>'Stavební rozpočet'!H95</f>
        <v>0</v>
      </c>
      <c r="I19" s="108">
        <f t="shared" si="0"/>
        <v>0</v>
      </c>
      <c r="J19" s="108">
        <f t="shared" si="1"/>
        <v>0</v>
      </c>
      <c r="K19" s="108">
        <f t="shared" si="2"/>
        <v>0</v>
      </c>
      <c r="L19" s="109" t="s">
        <v>345</v>
      </c>
      <c r="Z19" s="101">
        <f t="shared" si="3"/>
        <v>0</v>
      </c>
      <c r="AB19" s="101">
        <f t="shared" si="4"/>
        <v>0</v>
      </c>
      <c r="AC19" s="101">
        <f t="shared" si="5"/>
        <v>0</v>
      </c>
      <c r="AD19" s="101">
        <f t="shared" si="6"/>
        <v>0</v>
      </c>
      <c r="AE19" s="101">
        <f t="shared" si="7"/>
        <v>0</v>
      </c>
      <c r="AF19" s="101">
        <f t="shared" si="8"/>
        <v>0</v>
      </c>
      <c r="AG19" s="101">
        <f t="shared" si="9"/>
        <v>0</v>
      </c>
      <c r="AH19" s="101">
        <f t="shared" si="10"/>
        <v>0</v>
      </c>
      <c r="AI19" s="93" t="s">
        <v>361</v>
      </c>
      <c r="AJ19" s="108">
        <f t="shared" si="11"/>
        <v>0</v>
      </c>
      <c r="AK19" s="108">
        <f t="shared" si="12"/>
        <v>0</v>
      </c>
      <c r="AL19" s="108">
        <f t="shared" si="13"/>
        <v>0</v>
      </c>
      <c r="AN19" s="101">
        <v>21</v>
      </c>
      <c r="AO19" s="101">
        <f t="shared" si="14"/>
        <v>0</v>
      </c>
      <c r="AP19" s="101">
        <f t="shared" si="15"/>
        <v>0</v>
      </c>
      <c r="AQ19" s="109" t="s">
        <v>365</v>
      </c>
      <c r="AV19" s="101">
        <f t="shared" si="16"/>
        <v>0</v>
      </c>
      <c r="AW19" s="101">
        <f t="shared" si="17"/>
        <v>0</v>
      </c>
      <c r="AX19" s="101">
        <f t="shared" si="18"/>
        <v>0</v>
      </c>
      <c r="AY19" s="102" t="s">
        <v>371</v>
      </c>
      <c r="AZ19" s="102" t="s">
        <v>379</v>
      </c>
      <c r="BA19" s="93" t="s">
        <v>394</v>
      </c>
      <c r="BC19" s="101">
        <f t="shared" si="19"/>
        <v>0</v>
      </c>
      <c r="BD19" s="101">
        <f t="shared" si="20"/>
        <v>0</v>
      </c>
      <c r="BE19" s="101">
        <v>0</v>
      </c>
      <c r="BF19" s="101">
        <f>19</f>
        <v>19</v>
      </c>
      <c r="BH19" s="108">
        <f t="shared" si="21"/>
        <v>0</v>
      </c>
      <c r="BI19" s="108">
        <f t="shared" si="22"/>
        <v>0</v>
      </c>
      <c r="BJ19" s="108">
        <f t="shared" si="23"/>
        <v>0</v>
      </c>
    </row>
    <row r="20" spans="1:62" ht="12.75">
      <c r="A20" s="15" t="s">
        <v>63</v>
      </c>
      <c r="B20" s="15" t="s">
        <v>213</v>
      </c>
      <c r="C20" s="55" t="s">
        <v>291</v>
      </c>
      <c r="D20" s="53"/>
      <c r="E20" s="53"/>
      <c r="F20" s="15" t="s">
        <v>327</v>
      </c>
      <c r="G20" s="24">
        <f>'Stavební rozpočet'!G96</f>
        <v>225</v>
      </c>
      <c r="H20" s="108">
        <f>'Stavební rozpočet'!H96</f>
        <v>0</v>
      </c>
      <c r="I20" s="108">
        <f t="shared" si="0"/>
        <v>0</v>
      </c>
      <c r="J20" s="108">
        <f t="shared" si="1"/>
        <v>0</v>
      </c>
      <c r="K20" s="108">
        <f t="shared" si="2"/>
        <v>0</v>
      </c>
      <c r="L20" s="109"/>
      <c r="Z20" s="101">
        <f t="shared" si="3"/>
        <v>0</v>
      </c>
      <c r="AB20" s="101">
        <f t="shared" si="4"/>
        <v>0</v>
      </c>
      <c r="AC20" s="101">
        <f t="shared" si="5"/>
        <v>0</v>
      </c>
      <c r="AD20" s="101">
        <f t="shared" si="6"/>
        <v>0</v>
      </c>
      <c r="AE20" s="101">
        <f t="shared" si="7"/>
        <v>0</v>
      </c>
      <c r="AF20" s="101">
        <f t="shared" si="8"/>
        <v>0</v>
      </c>
      <c r="AG20" s="101">
        <f t="shared" si="9"/>
        <v>0</v>
      </c>
      <c r="AH20" s="101">
        <f t="shared" si="10"/>
        <v>0</v>
      </c>
      <c r="AI20" s="93" t="s">
        <v>361</v>
      </c>
      <c r="AJ20" s="108">
        <f t="shared" si="11"/>
        <v>0</v>
      </c>
      <c r="AK20" s="108">
        <f t="shared" si="12"/>
        <v>0</v>
      </c>
      <c r="AL20" s="108">
        <f t="shared" si="13"/>
        <v>0</v>
      </c>
      <c r="AN20" s="101">
        <v>21</v>
      </c>
      <c r="AO20" s="101">
        <f t="shared" si="14"/>
        <v>0</v>
      </c>
      <c r="AP20" s="101">
        <f t="shared" si="15"/>
        <v>0</v>
      </c>
      <c r="AQ20" s="109" t="s">
        <v>365</v>
      </c>
      <c r="AV20" s="101">
        <f t="shared" si="16"/>
        <v>0</v>
      </c>
      <c r="AW20" s="101">
        <f t="shared" si="17"/>
        <v>0</v>
      </c>
      <c r="AX20" s="101">
        <f t="shared" si="18"/>
        <v>0</v>
      </c>
      <c r="AY20" s="102" t="s">
        <v>371</v>
      </c>
      <c r="AZ20" s="102" t="s">
        <v>379</v>
      </c>
      <c r="BA20" s="93" t="s">
        <v>394</v>
      </c>
      <c r="BC20" s="101">
        <f t="shared" si="19"/>
        <v>0</v>
      </c>
      <c r="BD20" s="101">
        <f t="shared" si="20"/>
        <v>0</v>
      </c>
      <c r="BE20" s="101">
        <v>0</v>
      </c>
      <c r="BF20" s="101">
        <f>20</f>
        <v>20</v>
      </c>
      <c r="BH20" s="108">
        <f t="shared" si="21"/>
        <v>0</v>
      </c>
      <c r="BI20" s="108">
        <f t="shared" si="22"/>
        <v>0</v>
      </c>
      <c r="BJ20" s="108">
        <f t="shared" si="23"/>
        <v>0</v>
      </c>
    </row>
    <row r="21" spans="1:12" ht="12.75">
      <c r="A21" s="14"/>
      <c r="B21" s="21"/>
      <c r="C21" s="50" t="s">
        <v>292</v>
      </c>
      <c r="D21" s="51"/>
      <c r="E21" s="51"/>
      <c r="F21" s="14" t="s">
        <v>56</v>
      </c>
      <c r="G21" s="14" t="s">
        <v>56</v>
      </c>
      <c r="H21" s="103" t="s">
        <v>56</v>
      </c>
      <c r="I21" s="104">
        <f>I22</f>
        <v>0</v>
      </c>
      <c r="J21" s="104">
        <f>J22</f>
        <v>0</v>
      </c>
      <c r="K21" s="104">
        <f>K22</f>
        <v>0</v>
      </c>
      <c r="L21" s="105"/>
    </row>
    <row r="22" spans="1:47" ht="12.75">
      <c r="A22" s="12"/>
      <c r="B22" s="20"/>
      <c r="C22" s="46" t="s">
        <v>10</v>
      </c>
      <c r="D22" s="47"/>
      <c r="E22" s="47"/>
      <c r="F22" s="12" t="s">
        <v>56</v>
      </c>
      <c r="G22" s="12" t="s">
        <v>56</v>
      </c>
      <c r="H22" s="97" t="s">
        <v>56</v>
      </c>
      <c r="I22" s="98">
        <f>SUM(I23:I35)</f>
        <v>0</v>
      </c>
      <c r="J22" s="98">
        <f>SUM(J23:J35)</f>
        <v>0</v>
      </c>
      <c r="K22" s="98">
        <f>SUM(K23:K35)</f>
        <v>0</v>
      </c>
      <c r="L22" s="93"/>
      <c r="AI22" s="93" t="s">
        <v>362</v>
      </c>
      <c r="AS22" s="98">
        <f>SUM(AJ23:AJ35)</f>
        <v>0</v>
      </c>
      <c r="AT22" s="98">
        <f>SUM(AK23:AK35)</f>
        <v>0</v>
      </c>
      <c r="AU22" s="98">
        <f>SUM(AL23:AL35)</f>
        <v>0</v>
      </c>
    </row>
    <row r="23" spans="1:62" ht="12.75">
      <c r="A23" s="15" t="s">
        <v>64</v>
      </c>
      <c r="B23" s="15" t="s">
        <v>207</v>
      </c>
      <c r="C23" s="55" t="s">
        <v>285</v>
      </c>
      <c r="D23" s="53"/>
      <c r="E23" s="53"/>
      <c r="F23" s="15" t="s">
        <v>327</v>
      </c>
      <c r="G23" s="24">
        <f>'Stavební rozpočet'!G110</f>
        <v>3348</v>
      </c>
      <c r="H23" s="108">
        <f>'Stavební rozpočet'!H110</f>
        <v>0</v>
      </c>
      <c r="I23" s="108">
        <f aca="true" t="shared" si="24" ref="I23:I35">G23*AO23</f>
        <v>0</v>
      </c>
      <c r="J23" s="108">
        <f aca="true" t="shared" si="25" ref="J23:J35">G23*AP23</f>
        <v>0</v>
      </c>
      <c r="K23" s="108">
        <f aca="true" t="shared" si="26" ref="K23:K35">G23*H23</f>
        <v>0</v>
      </c>
      <c r="L23" s="109"/>
      <c r="Z23" s="101">
        <f aca="true" t="shared" si="27" ref="Z23:Z35">IF(AQ23="5",BJ23,0)</f>
        <v>0</v>
      </c>
      <c r="AB23" s="101">
        <f aca="true" t="shared" si="28" ref="AB23:AB35">IF(AQ23="1",BH23,0)</f>
        <v>0</v>
      </c>
      <c r="AC23" s="101">
        <f aca="true" t="shared" si="29" ref="AC23:AC35">IF(AQ23="1",BI23,0)</f>
        <v>0</v>
      </c>
      <c r="AD23" s="101">
        <f aca="true" t="shared" si="30" ref="AD23:AD35">IF(AQ23="7",BH23,0)</f>
        <v>0</v>
      </c>
      <c r="AE23" s="101">
        <f aca="true" t="shared" si="31" ref="AE23:AE35">IF(AQ23="7",BI23,0)</f>
        <v>0</v>
      </c>
      <c r="AF23" s="101">
        <f aca="true" t="shared" si="32" ref="AF23:AF35">IF(AQ23="2",BH23,0)</f>
        <v>0</v>
      </c>
      <c r="AG23" s="101">
        <f aca="true" t="shared" si="33" ref="AG23:AG35">IF(AQ23="2",BI23,0)</f>
        <v>0</v>
      </c>
      <c r="AH23" s="101">
        <f aca="true" t="shared" si="34" ref="AH23:AH35">IF(AQ23="0",BJ23,0)</f>
        <v>0</v>
      </c>
      <c r="AI23" s="93" t="s">
        <v>362</v>
      </c>
      <c r="AJ23" s="108">
        <f aca="true" t="shared" si="35" ref="AJ23:AJ35">IF(AN23=0,K23,0)</f>
        <v>0</v>
      </c>
      <c r="AK23" s="108">
        <f aca="true" t="shared" si="36" ref="AK23:AK35">IF(AN23=15,K23,0)</f>
        <v>0</v>
      </c>
      <c r="AL23" s="108">
        <f aca="true" t="shared" si="37" ref="AL23:AL35">IF(AN23=21,K23,0)</f>
        <v>0</v>
      </c>
      <c r="AN23" s="101">
        <v>21</v>
      </c>
      <c r="AO23" s="101">
        <f aca="true" t="shared" si="38" ref="AO23:AO35">H23*1</f>
        <v>0</v>
      </c>
      <c r="AP23" s="101">
        <f aca="true" t="shared" si="39" ref="AP23:AP35">H23*(1-1)</f>
        <v>0</v>
      </c>
      <c r="AQ23" s="109" t="s">
        <v>365</v>
      </c>
      <c r="AV23" s="101">
        <f aca="true" t="shared" si="40" ref="AV23:AV35">AW23+AX23</f>
        <v>0</v>
      </c>
      <c r="AW23" s="101">
        <f aca="true" t="shared" si="41" ref="AW23:AW35">G23*AO23</f>
        <v>0</v>
      </c>
      <c r="AX23" s="101">
        <f aca="true" t="shared" si="42" ref="AX23:AX35">G23*AP23</f>
        <v>0</v>
      </c>
      <c r="AY23" s="102" t="s">
        <v>371</v>
      </c>
      <c r="AZ23" s="102" t="s">
        <v>382</v>
      </c>
      <c r="BA23" s="93" t="s">
        <v>395</v>
      </c>
      <c r="BC23" s="101">
        <f aca="true" t="shared" si="43" ref="BC23:BC35">AW23+AX23</f>
        <v>0</v>
      </c>
      <c r="BD23" s="101">
        <f aca="true" t="shared" si="44" ref="BD23:BD35">H23/(100-BE23)*100</f>
        <v>0</v>
      </c>
      <c r="BE23" s="101">
        <v>0</v>
      </c>
      <c r="BF23" s="101">
        <f>23</f>
        <v>23</v>
      </c>
      <c r="BH23" s="108">
        <f aca="true" t="shared" si="45" ref="BH23:BH35">G23*AO23</f>
        <v>0</v>
      </c>
      <c r="BI23" s="108">
        <f aca="true" t="shared" si="46" ref="BI23:BI35">G23*AP23</f>
        <v>0</v>
      </c>
      <c r="BJ23" s="108">
        <f aca="true" t="shared" si="47" ref="BJ23:BJ35">G23*H23</f>
        <v>0</v>
      </c>
    </row>
    <row r="24" spans="1:62" ht="12.75">
      <c r="A24" s="15" t="s">
        <v>65</v>
      </c>
      <c r="B24" s="15" t="s">
        <v>208</v>
      </c>
      <c r="C24" s="55" t="s">
        <v>286</v>
      </c>
      <c r="D24" s="53"/>
      <c r="E24" s="53"/>
      <c r="F24" s="15" t="s">
        <v>329</v>
      </c>
      <c r="G24" s="24">
        <f>'Stavební rozpočet'!G111</f>
        <v>419</v>
      </c>
      <c r="H24" s="108">
        <f>'Stavební rozpočet'!H111</f>
        <v>0</v>
      </c>
      <c r="I24" s="108">
        <f t="shared" si="24"/>
        <v>0</v>
      </c>
      <c r="J24" s="108">
        <f t="shared" si="25"/>
        <v>0</v>
      </c>
      <c r="K24" s="108">
        <f t="shared" si="26"/>
        <v>0</v>
      </c>
      <c r="L24" s="109"/>
      <c r="Z24" s="101">
        <f t="shared" si="27"/>
        <v>0</v>
      </c>
      <c r="AB24" s="101">
        <f t="shared" si="28"/>
        <v>0</v>
      </c>
      <c r="AC24" s="101">
        <f t="shared" si="29"/>
        <v>0</v>
      </c>
      <c r="AD24" s="101">
        <f t="shared" si="30"/>
        <v>0</v>
      </c>
      <c r="AE24" s="101">
        <f t="shared" si="31"/>
        <v>0</v>
      </c>
      <c r="AF24" s="101">
        <f t="shared" si="32"/>
        <v>0</v>
      </c>
      <c r="AG24" s="101">
        <f t="shared" si="33"/>
        <v>0</v>
      </c>
      <c r="AH24" s="101">
        <f t="shared" si="34"/>
        <v>0</v>
      </c>
      <c r="AI24" s="93" t="s">
        <v>362</v>
      </c>
      <c r="AJ24" s="108">
        <f t="shared" si="35"/>
        <v>0</v>
      </c>
      <c r="AK24" s="108">
        <f t="shared" si="36"/>
        <v>0</v>
      </c>
      <c r="AL24" s="108">
        <f t="shared" si="37"/>
        <v>0</v>
      </c>
      <c r="AN24" s="101">
        <v>21</v>
      </c>
      <c r="AO24" s="101">
        <f t="shared" si="38"/>
        <v>0</v>
      </c>
      <c r="AP24" s="101">
        <f t="shared" si="39"/>
        <v>0</v>
      </c>
      <c r="AQ24" s="109" t="s">
        <v>365</v>
      </c>
      <c r="AV24" s="101">
        <f t="shared" si="40"/>
        <v>0</v>
      </c>
      <c r="AW24" s="101">
        <f t="shared" si="41"/>
        <v>0</v>
      </c>
      <c r="AX24" s="101">
        <f t="shared" si="42"/>
        <v>0</v>
      </c>
      <c r="AY24" s="102" t="s">
        <v>371</v>
      </c>
      <c r="AZ24" s="102" t="s">
        <v>382</v>
      </c>
      <c r="BA24" s="93" t="s">
        <v>395</v>
      </c>
      <c r="BC24" s="101">
        <f t="shared" si="43"/>
        <v>0</v>
      </c>
      <c r="BD24" s="101">
        <f t="shared" si="44"/>
        <v>0</v>
      </c>
      <c r="BE24" s="101">
        <v>0</v>
      </c>
      <c r="BF24" s="101">
        <f>24</f>
        <v>24</v>
      </c>
      <c r="BH24" s="108">
        <f t="shared" si="45"/>
        <v>0</v>
      </c>
      <c r="BI24" s="108">
        <f t="shared" si="46"/>
        <v>0</v>
      </c>
      <c r="BJ24" s="108">
        <f t="shared" si="47"/>
        <v>0</v>
      </c>
    </row>
    <row r="25" spans="1:62" ht="12.75">
      <c r="A25" s="15" t="s">
        <v>66</v>
      </c>
      <c r="B25" s="15" t="s">
        <v>209</v>
      </c>
      <c r="C25" s="55" t="s">
        <v>295</v>
      </c>
      <c r="D25" s="53"/>
      <c r="E25" s="53"/>
      <c r="F25" s="15" t="s">
        <v>327</v>
      </c>
      <c r="G25" s="24">
        <f>'Stavební rozpočet'!G112</f>
        <v>837</v>
      </c>
      <c r="H25" s="108">
        <f>'Stavební rozpočet'!H112</f>
        <v>0</v>
      </c>
      <c r="I25" s="108">
        <f t="shared" si="24"/>
        <v>0</v>
      </c>
      <c r="J25" s="108">
        <f t="shared" si="25"/>
        <v>0</v>
      </c>
      <c r="K25" s="108">
        <f t="shared" si="26"/>
        <v>0</v>
      </c>
      <c r="L25" s="109"/>
      <c r="Z25" s="101">
        <f t="shared" si="27"/>
        <v>0</v>
      </c>
      <c r="AB25" s="101">
        <f t="shared" si="28"/>
        <v>0</v>
      </c>
      <c r="AC25" s="101">
        <f t="shared" si="29"/>
        <v>0</v>
      </c>
      <c r="AD25" s="101">
        <f t="shared" si="30"/>
        <v>0</v>
      </c>
      <c r="AE25" s="101">
        <f t="shared" si="31"/>
        <v>0</v>
      </c>
      <c r="AF25" s="101">
        <f t="shared" si="32"/>
        <v>0</v>
      </c>
      <c r="AG25" s="101">
        <f t="shared" si="33"/>
        <v>0</v>
      </c>
      <c r="AH25" s="101">
        <f t="shared" si="34"/>
        <v>0</v>
      </c>
      <c r="AI25" s="93" t="s">
        <v>362</v>
      </c>
      <c r="AJ25" s="108">
        <f t="shared" si="35"/>
        <v>0</v>
      </c>
      <c r="AK25" s="108">
        <f t="shared" si="36"/>
        <v>0</v>
      </c>
      <c r="AL25" s="108">
        <f t="shared" si="37"/>
        <v>0</v>
      </c>
      <c r="AN25" s="101">
        <v>21</v>
      </c>
      <c r="AO25" s="101">
        <f t="shared" si="38"/>
        <v>0</v>
      </c>
      <c r="AP25" s="101">
        <f t="shared" si="39"/>
        <v>0</v>
      </c>
      <c r="AQ25" s="109" t="s">
        <v>365</v>
      </c>
      <c r="AV25" s="101">
        <f t="shared" si="40"/>
        <v>0</v>
      </c>
      <c r="AW25" s="101">
        <f t="shared" si="41"/>
        <v>0</v>
      </c>
      <c r="AX25" s="101">
        <f t="shared" si="42"/>
        <v>0</v>
      </c>
      <c r="AY25" s="102" t="s">
        <v>371</v>
      </c>
      <c r="AZ25" s="102" t="s">
        <v>382</v>
      </c>
      <c r="BA25" s="93" t="s">
        <v>395</v>
      </c>
      <c r="BC25" s="101">
        <f t="shared" si="43"/>
        <v>0</v>
      </c>
      <c r="BD25" s="101">
        <f t="shared" si="44"/>
        <v>0</v>
      </c>
      <c r="BE25" s="101">
        <v>0</v>
      </c>
      <c r="BF25" s="101">
        <f>25</f>
        <v>25</v>
      </c>
      <c r="BH25" s="108">
        <f t="shared" si="45"/>
        <v>0</v>
      </c>
      <c r="BI25" s="108">
        <f t="shared" si="46"/>
        <v>0</v>
      </c>
      <c r="BJ25" s="108">
        <f t="shared" si="47"/>
        <v>0</v>
      </c>
    </row>
    <row r="26" spans="1:62" ht="12.75">
      <c r="A26" s="15" t="s">
        <v>67</v>
      </c>
      <c r="B26" s="15" t="s">
        <v>210</v>
      </c>
      <c r="C26" s="55" t="s">
        <v>288</v>
      </c>
      <c r="D26" s="53"/>
      <c r="E26" s="53"/>
      <c r="F26" s="15" t="s">
        <v>327</v>
      </c>
      <c r="G26" s="24">
        <f>'Stavební rozpočet'!G113</f>
        <v>837</v>
      </c>
      <c r="H26" s="108">
        <f>'Stavební rozpočet'!H113</f>
        <v>0</v>
      </c>
      <c r="I26" s="108">
        <f t="shared" si="24"/>
        <v>0</v>
      </c>
      <c r="J26" s="108">
        <f t="shared" si="25"/>
        <v>0</v>
      </c>
      <c r="K26" s="108">
        <f t="shared" si="26"/>
        <v>0</v>
      </c>
      <c r="L26" s="109"/>
      <c r="Z26" s="101">
        <f t="shared" si="27"/>
        <v>0</v>
      </c>
      <c r="AB26" s="101">
        <f t="shared" si="28"/>
        <v>0</v>
      </c>
      <c r="AC26" s="101">
        <f t="shared" si="29"/>
        <v>0</v>
      </c>
      <c r="AD26" s="101">
        <f t="shared" si="30"/>
        <v>0</v>
      </c>
      <c r="AE26" s="101">
        <f t="shared" si="31"/>
        <v>0</v>
      </c>
      <c r="AF26" s="101">
        <f t="shared" si="32"/>
        <v>0</v>
      </c>
      <c r="AG26" s="101">
        <f t="shared" si="33"/>
        <v>0</v>
      </c>
      <c r="AH26" s="101">
        <f t="shared" si="34"/>
        <v>0</v>
      </c>
      <c r="AI26" s="93" t="s">
        <v>362</v>
      </c>
      <c r="AJ26" s="108">
        <f t="shared" si="35"/>
        <v>0</v>
      </c>
      <c r="AK26" s="108">
        <f t="shared" si="36"/>
        <v>0</v>
      </c>
      <c r="AL26" s="108">
        <f t="shared" si="37"/>
        <v>0</v>
      </c>
      <c r="AN26" s="101">
        <v>21</v>
      </c>
      <c r="AO26" s="101">
        <f t="shared" si="38"/>
        <v>0</v>
      </c>
      <c r="AP26" s="101">
        <f t="shared" si="39"/>
        <v>0</v>
      </c>
      <c r="AQ26" s="109" t="s">
        <v>365</v>
      </c>
      <c r="AV26" s="101">
        <f t="shared" si="40"/>
        <v>0</v>
      </c>
      <c r="AW26" s="101">
        <f t="shared" si="41"/>
        <v>0</v>
      </c>
      <c r="AX26" s="101">
        <f t="shared" si="42"/>
        <v>0</v>
      </c>
      <c r="AY26" s="102" t="s">
        <v>371</v>
      </c>
      <c r="AZ26" s="102" t="s">
        <v>382</v>
      </c>
      <c r="BA26" s="93" t="s">
        <v>395</v>
      </c>
      <c r="BC26" s="101">
        <f t="shared" si="43"/>
        <v>0</v>
      </c>
      <c r="BD26" s="101">
        <f t="shared" si="44"/>
        <v>0</v>
      </c>
      <c r="BE26" s="101">
        <v>0</v>
      </c>
      <c r="BF26" s="101">
        <f>26</f>
        <v>26</v>
      </c>
      <c r="BH26" s="108">
        <f t="shared" si="45"/>
        <v>0</v>
      </c>
      <c r="BI26" s="108">
        <f t="shared" si="46"/>
        <v>0</v>
      </c>
      <c r="BJ26" s="108">
        <f t="shared" si="47"/>
        <v>0</v>
      </c>
    </row>
    <row r="27" spans="1:62" ht="12.75">
      <c r="A27" s="15" t="s">
        <v>68</v>
      </c>
      <c r="B27" s="15" t="s">
        <v>211</v>
      </c>
      <c r="C27" s="55" t="s">
        <v>289</v>
      </c>
      <c r="D27" s="53"/>
      <c r="E27" s="53"/>
      <c r="F27" s="15" t="s">
        <v>327</v>
      </c>
      <c r="G27" s="24">
        <f>'Stavební rozpočet'!G114</f>
        <v>837</v>
      </c>
      <c r="H27" s="108">
        <f>'Stavební rozpočet'!H114</f>
        <v>0</v>
      </c>
      <c r="I27" s="108">
        <f t="shared" si="24"/>
        <v>0</v>
      </c>
      <c r="J27" s="108">
        <f t="shared" si="25"/>
        <v>0</v>
      </c>
      <c r="K27" s="108">
        <f t="shared" si="26"/>
        <v>0</v>
      </c>
      <c r="L27" s="109"/>
      <c r="Z27" s="101">
        <f t="shared" si="27"/>
        <v>0</v>
      </c>
      <c r="AB27" s="101">
        <f t="shared" si="28"/>
        <v>0</v>
      </c>
      <c r="AC27" s="101">
        <f t="shared" si="29"/>
        <v>0</v>
      </c>
      <c r="AD27" s="101">
        <f t="shared" si="30"/>
        <v>0</v>
      </c>
      <c r="AE27" s="101">
        <f t="shared" si="31"/>
        <v>0</v>
      </c>
      <c r="AF27" s="101">
        <f t="shared" si="32"/>
        <v>0</v>
      </c>
      <c r="AG27" s="101">
        <f t="shared" si="33"/>
        <v>0</v>
      </c>
      <c r="AH27" s="101">
        <f t="shared" si="34"/>
        <v>0</v>
      </c>
      <c r="AI27" s="93" t="s">
        <v>362</v>
      </c>
      <c r="AJ27" s="108">
        <f t="shared" si="35"/>
        <v>0</v>
      </c>
      <c r="AK27" s="108">
        <f t="shared" si="36"/>
        <v>0</v>
      </c>
      <c r="AL27" s="108">
        <f t="shared" si="37"/>
        <v>0</v>
      </c>
      <c r="AN27" s="101">
        <v>21</v>
      </c>
      <c r="AO27" s="101">
        <f t="shared" si="38"/>
        <v>0</v>
      </c>
      <c r="AP27" s="101">
        <f t="shared" si="39"/>
        <v>0</v>
      </c>
      <c r="AQ27" s="109" t="s">
        <v>365</v>
      </c>
      <c r="AV27" s="101">
        <f t="shared" si="40"/>
        <v>0</v>
      </c>
      <c r="AW27" s="101">
        <f t="shared" si="41"/>
        <v>0</v>
      </c>
      <c r="AX27" s="101">
        <f t="shared" si="42"/>
        <v>0</v>
      </c>
      <c r="AY27" s="102" t="s">
        <v>371</v>
      </c>
      <c r="AZ27" s="102" t="s">
        <v>382</v>
      </c>
      <c r="BA27" s="93" t="s">
        <v>395</v>
      </c>
      <c r="BC27" s="101">
        <f t="shared" si="43"/>
        <v>0</v>
      </c>
      <c r="BD27" s="101">
        <f t="shared" si="44"/>
        <v>0</v>
      </c>
      <c r="BE27" s="101">
        <v>0</v>
      </c>
      <c r="BF27" s="101">
        <f>27</f>
        <v>27</v>
      </c>
      <c r="BH27" s="108">
        <f t="shared" si="45"/>
        <v>0</v>
      </c>
      <c r="BI27" s="108">
        <f t="shared" si="46"/>
        <v>0</v>
      </c>
      <c r="BJ27" s="108">
        <f t="shared" si="47"/>
        <v>0</v>
      </c>
    </row>
    <row r="28" spans="1:62" ht="12.75">
      <c r="A28" s="15" t="s">
        <v>69</v>
      </c>
      <c r="B28" s="15" t="s">
        <v>212</v>
      </c>
      <c r="C28" s="55" t="s">
        <v>296</v>
      </c>
      <c r="D28" s="53"/>
      <c r="E28" s="53"/>
      <c r="F28" s="15" t="s">
        <v>324</v>
      </c>
      <c r="G28" s="24">
        <f>'Stavební rozpočet'!G115</f>
        <v>28</v>
      </c>
      <c r="H28" s="108">
        <f>'Stavební rozpočet'!H115</f>
        <v>0</v>
      </c>
      <c r="I28" s="108">
        <f t="shared" si="24"/>
        <v>0</v>
      </c>
      <c r="J28" s="108">
        <f t="shared" si="25"/>
        <v>0</v>
      </c>
      <c r="K28" s="108">
        <f t="shared" si="26"/>
        <v>0</v>
      </c>
      <c r="L28" s="109" t="s">
        <v>345</v>
      </c>
      <c r="Z28" s="101">
        <f t="shared" si="27"/>
        <v>0</v>
      </c>
      <c r="AB28" s="101">
        <f t="shared" si="28"/>
        <v>0</v>
      </c>
      <c r="AC28" s="101">
        <f t="shared" si="29"/>
        <v>0</v>
      </c>
      <c r="AD28" s="101">
        <f t="shared" si="30"/>
        <v>0</v>
      </c>
      <c r="AE28" s="101">
        <f t="shared" si="31"/>
        <v>0</v>
      </c>
      <c r="AF28" s="101">
        <f t="shared" si="32"/>
        <v>0</v>
      </c>
      <c r="AG28" s="101">
        <f t="shared" si="33"/>
        <v>0</v>
      </c>
      <c r="AH28" s="101">
        <f t="shared" si="34"/>
        <v>0</v>
      </c>
      <c r="AI28" s="93" t="s">
        <v>362</v>
      </c>
      <c r="AJ28" s="108">
        <f t="shared" si="35"/>
        <v>0</v>
      </c>
      <c r="AK28" s="108">
        <f t="shared" si="36"/>
        <v>0</v>
      </c>
      <c r="AL28" s="108">
        <f t="shared" si="37"/>
        <v>0</v>
      </c>
      <c r="AN28" s="101">
        <v>21</v>
      </c>
      <c r="AO28" s="101">
        <f t="shared" si="38"/>
        <v>0</v>
      </c>
      <c r="AP28" s="101">
        <f t="shared" si="39"/>
        <v>0</v>
      </c>
      <c r="AQ28" s="109" t="s">
        <v>365</v>
      </c>
      <c r="AV28" s="101">
        <f t="shared" si="40"/>
        <v>0</v>
      </c>
      <c r="AW28" s="101">
        <f t="shared" si="41"/>
        <v>0</v>
      </c>
      <c r="AX28" s="101">
        <f t="shared" si="42"/>
        <v>0</v>
      </c>
      <c r="AY28" s="102" t="s">
        <v>371</v>
      </c>
      <c r="AZ28" s="102" t="s">
        <v>382</v>
      </c>
      <c r="BA28" s="93" t="s">
        <v>395</v>
      </c>
      <c r="BC28" s="101">
        <f t="shared" si="43"/>
        <v>0</v>
      </c>
      <c r="BD28" s="101">
        <f t="shared" si="44"/>
        <v>0</v>
      </c>
      <c r="BE28" s="101">
        <v>0</v>
      </c>
      <c r="BF28" s="101">
        <f>28</f>
        <v>28</v>
      </c>
      <c r="BH28" s="108">
        <f t="shared" si="45"/>
        <v>0</v>
      </c>
      <c r="BI28" s="108">
        <f t="shared" si="46"/>
        <v>0</v>
      </c>
      <c r="BJ28" s="108">
        <f t="shared" si="47"/>
        <v>0</v>
      </c>
    </row>
    <row r="29" spans="1:62" ht="12.75">
      <c r="A29" s="15" t="s">
        <v>70</v>
      </c>
      <c r="B29" s="15" t="s">
        <v>213</v>
      </c>
      <c r="C29" s="55" t="s">
        <v>297</v>
      </c>
      <c r="D29" s="53"/>
      <c r="E29" s="53"/>
      <c r="F29" s="15" t="s">
        <v>327</v>
      </c>
      <c r="G29" s="24">
        <f>'Stavební rozpočet'!G116</f>
        <v>13</v>
      </c>
      <c r="H29" s="108">
        <f>'Stavební rozpočet'!H116</f>
        <v>0</v>
      </c>
      <c r="I29" s="108">
        <f t="shared" si="24"/>
        <v>0</v>
      </c>
      <c r="J29" s="108">
        <f t="shared" si="25"/>
        <v>0</v>
      </c>
      <c r="K29" s="108">
        <f t="shared" si="26"/>
        <v>0</v>
      </c>
      <c r="L29" s="109"/>
      <c r="Z29" s="101">
        <f t="shared" si="27"/>
        <v>0</v>
      </c>
      <c r="AB29" s="101">
        <f t="shared" si="28"/>
        <v>0</v>
      </c>
      <c r="AC29" s="101">
        <f t="shared" si="29"/>
        <v>0</v>
      </c>
      <c r="AD29" s="101">
        <f t="shared" si="30"/>
        <v>0</v>
      </c>
      <c r="AE29" s="101">
        <f t="shared" si="31"/>
        <v>0</v>
      </c>
      <c r="AF29" s="101">
        <f t="shared" si="32"/>
        <v>0</v>
      </c>
      <c r="AG29" s="101">
        <f t="shared" si="33"/>
        <v>0</v>
      </c>
      <c r="AH29" s="101">
        <f t="shared" si="34"/>
        <v>0</v>
      </c>
      <c r="AI29" s="93" t="s">
        <v>362</v>
      </c>
      <c r="AJ29" s="108">
        <f t="shared" si="35"/>
        <v>0</v>
      </c>
      <c r="AK29" s="108">
        <f t="shared" si="36"/>
        <v>0</v>
      </c>
      <c r="AL29" s="108">
        <f t="shared" si="37"/>
        <v>0</v>
      </c>
      <c r="AN29" s="101">
        <v>21</v>
      </c>
      <c r="AO29" s="101">
        <f t="shared" si="38"/>
        <v>0</v>
      </c>
      <c r="AP29" s="101">
        <f t="shared" si="39"/>
        <v>0</v>
      </c>
      <c r="AQ29" s="109" t="s">
        <v>365</v>
      </c>
      <c r="AV29" s="101">
        <f t="shared" si="40"/>
        <v>0</v>
      </c>
      <c r="AW29" s="101">
        <f t="shared" si="41"/>
        <v>0</v>
      </c>
      <c r="AX29" s="101">
        <f t="shared" si="42"/>
        <v>0</v>
      </c>
      <c r="AY29" s="102" t="s">
        <v>371</v>
      </c>
      <c r="AZ29" s="102" t="s">
        <v>382</v>
      </c>
      <c r="BA29" s="93" t="s">
        <v>395</v>
      </c>
      <c r="BC29" s="101">
        <f t="shared" si="43"/>
        <v>0</v>
      </c>
      <c r="BD29" s="101">
        <f t="shared" si="44"/>
        <v>0</v>
      </c>
      <c r="BE29" s="101">
        <v>0</v>
      </c>
      <c r="BF29" s="101">
        <f>29</f>
        <v>29</v>
      </c>
      <c r="BH29" s="108">
        <f t="shared" si="45"/>
        <v>0</v>
      </c>
      <c r="BI29" s="108">
        <f t="shared" si="46"/>
        <v>0</v>
      </c>
      <c r="BJ29" s="108">
        <f t="shared" si="47"/>
        <v>0</v>
      </c>
    </row>
    <row r="30" spans="1:62" ht="12.75">
      <c r="A30" s="15" t="s">
        <v>71</v>
      </c>
      <c r="B30" s="15" t="s">
        <v>213</v>
      </c>
      <c r="C30" s="55" t="s">
        <v>298</v>
      </c>
      <c r="D30" s="53"/>
      <c r="E30" s="53"/>
      <c r="F30" s="15" t="s">
        <v>327</v>
      </c>
      <c r="G30" s="24">
        <f>'Stavební rozpočet'!G117</f>
        <v>3</v>
      </c>
      <c r="H30" s="108">
        <f>'Stavební rozpočet'!H117</f>
        <v>0</v>
      </c>
      <c r="I30" s="108">
        <f t="shared" si="24"/>
        <v>0</v>
      </c>
      <c r="J30" s="108">
        <f t="shared" si="25"/>
        <v>0</v>
      </c>
      <c r="K30" s="108">
        <f t="shared" si="26"/>
        <v>0</v>
      </c>
      <c r="L30" s="109"/>
      <c r="Z30" s="101">
        <f t="shared" si="27"/>
        <v>0</v>
      </c>
      <c r="AB30" s="101">
        <f t="shared" si="28"/>
        <v>0</v>
      </c>
      <c r="AC30" s="101">
        <f t="shared" si="29"/>
        <v>0</v>
      </c>
      <c r="AD30" s="101">
        <f t="shared" si="30"/>
        <v>0</v>
      </c>
      <c r="AE30" s="101">
        <f t="shared" si="31"/>
        <v>0</v>
      </c>
      <c r="AF30" s="101">
        <f t="shared" si="32"/>
        <v>0</v>
      </c>
      <c r="AG30" s="101">
        <f t="shared" si="33"/>
        <v>0</v>
      </c>
      <c r="AH30" s="101">
        <f t="shared" si="34"/>
        <v>0</v>
      </c>
      <c r="AI30" s="93" t="s">
        <v>362</v>
      </c>
      <c r="AJ30" s="108">
        <f t="shared" si="35"/>
        <v>0</v>
      </c>
      <c r="AK30" s="108">
        <f t="shared" si="36"/>
        <v>0</v>
      </c>
      <c r="AL30" s="108">
        <f t="shared" si="37"/>
        <v>0</v>
      </c>
      <c r="AN30" s="101">
        <v>21</v>
      </c>
      <c r="AO30" s="101">
        <f t="shared" si="38"/>
        <v>0</v>
      </c>
      <c r="AP30" s="101">
        <f t="shared" si="39"/>
        <v>0</v>
      </c>
      <c r="AQ30" s="109" t="s">
        <v>365</v>
      </c>
      <c r="AV30" s="101">
        <f t="shared" si="40"/>
        <v>0</v>
      </c>
      <c r="AW30" s="101">
        <f t="shared" si="41"/>
        <v>0</v>
      </c>
      <c r="AX30" s="101">
        <f t="shared" si="42"/>
        <v>0</v>
      </c>
      <c r="AY30" s="102" t="s">
        <v>371</v>
      </c>
      <c r="AZ30" s="102" t="s">
        <v>382</v>
      </c>
      <c r="BA30" s="93" t="s">
        <v>395</v>
      </c>
      <c r="BC30" s="101">
        <f t="shared" si="43"/>
        <v>0</v>
      </c>
      <c r="BD30" s="101">
        <f t="shared" si="44"/>
        <v>0</v>
      </c>
      <c r="BE30" s="101">
        <v>0</v>
      </c>
      <c r="BF30" s="101">
        <f>30</f>
        <v>30</v>
      </c>
      <c r="BH30" s="108">
        <f t="shared" si="45"/>
        <v>0</v>
      </c>
      <c r="BI30" s="108">
        <f t="shared" si="46"/>
        <v>0</v>
      </c>
      <c r="BJ30" s="108">
        <f t="shared" si="47"/>
        <v>0</v>
      </c>
    </row>
    <row r="31" spans="1:62" ht="12.75">
      <c r="A31" s="15" t="s">
        <v>72</v>
      </c>
      <c r="B31" s="15" t="s">
        <v>213</v>
      </c>
      <c r="C31" s="55" t="s">
        <v>299</v>
      </c>
      <c r="D31" s="53"/>
      <c r="E31" s="53"/>
      <c r="F31" s="15" t="s">
        <v>327</v>
      </c>
      <c r="G31" s="24">
        <f>'Stavební rozpočet'!G118</f>
        <v>100</v>
      </c>
      <c r="H31" s="108">
        <f>'Stavební rozpočet'!H118</f>
        <v>0</v>
      </c>
      <c r="I31" s="108">
        <f t="shared" si="24"/>
        <v>0</v>
      </c>
      <c r="J31" s="108">
        <f t="shared" si="25"/>
        <v>0</v>
      </c>
      <c r="K31" s="108">
        <f t="shared" si="26"/>
        <v>0</v>
      </c>
      <c r="L31" s="109"/>
      <c r="Z31" s="101">
        <f t="shared" si="27"/>
        <v>0</v>
      </c>
      <c r="AB31" s="101">
        <f t="shared" si="28"/>
        <v>0</v>
      </c>
      <c r="AC31" s="101">
        <f t="shared" si="29"/>
        <v>0</v>
      </c>
      <c r="AD31" s="101">
        <f t="shared" si="30"/>
        <v>0</v>
      </c>
      <c r="AE31" s="101">
        <f t="shared" si="31"/>
        <v>0</v>
      </c>
      <c r="AF31" s="101">
        <f t="shared" si="32"/>
        <v>0</v>
      </c>
      <c r="AG31" s="101">
        <f t="shared" si="33"/>
        <v>0</v>
      </c>
      <c r="AH31" s="101">
        <f t="shared" si="34"/>
        <v>0</v>
      </c>
      <c r="AI31" s="93" t="s">
        <v>362</v>
      </c>
      <c r="AJ31" s="108">
        <f t="shared" si="35"/>
        <v>0</v>
      </c>
      <c r="AK31" s="108">
        <f t="shared" si="36"/>
        <v>0</v>
      </c>
      <c r="AL31" s="108">
        <f t="shared" si="37"/>
        <v>0</v>
      </c>
      <c r="AN31" s="101">
        <v>21</v>
      </c>
      <c r="AO31" s="101">
        <f t="shared" si="38"/>
        <v>0</v>
      </c>
      <c r="AP31" s="101">
        <f t="shared" si="39"/>
        <v>0</v>
      </c>
      <c r="AQ31" s="109" t="s">
        <v>365</v>
      </c>
      <c r="AV31" s="101">
        <f t="shared" si="40"/>
        <v>0</v>
      </c>
      <c r="AW31" s="101">
        <f t="shared" si="41"/>
        <v>0</v>
      </c>
      <c r="AX31" s="101">
        <f t="shared" si="42"/>
        <v>0</v>
      </c>
      <c r="AY31" s="102" t="s">
        <v>371</v>
      </c>
      <c r="AZ31" s="102" t="s">
        <v>382</v>
      </c>
      <c r="BA31" s="93" t="s">
        <v>395</v>
      </c>
      <c r="BC31" s="101">
        <f t="shared" si="43"/>
        <v>0</v>
      </c>
      <c r="BD31" s="101">
        <f t="shared" si="44"/>
        <v>0</v>
      </c>
      <c r="BE31" s="101">
        <v>0</v>
      </c>
      <c r="BF31" s="101">
        <f>31</f>
        <v>31</v>
      </c>
      <c r="BH31" s="108">
        <f t="shared" si="45"/>
        <v>0</v>
      </c>
      <c r="BI31" s="108">
        <f t="shared" si="46"/>
        <v>0</v>
      </c>
      <c r="BJ31" s="108">
        <f t="shared" si="47"/>
        <v>0</v>
      </c>
    </row>
    <row r="32" spans="1:62" ht="12.75">
      <c r="A32" s="15" t="s">
        <v>73</v>
      </c>
      <c r="B32" s="15" t="s">
        <v>213</v>
      </c>
      <c r="C32" s="55" t="s">
        <v>300</v>
      </c>
      <c r="D32" s="53"/>
      <c r="E32" s="53"/>
      <c r="F32" s="15" t="s">
        <v>327</v>
      </c>
      <c r="G32" s="24">
        <f>'Stavební rozpočet'!G119</f>
        <v>25</v>
      </c>
      <c r="H32" s="108">
        <f>'Stavební rozpočet'!H119</f>
        <v>0</v>
      </c>
      <c r="I32" s="108">
        <f t="shared" si="24"/>
        <v>0</v>
      </c>
      <c r="J32" s="108">
        <f t="shared" si="25"/>
        <v>0</v>
      </c>
      <c r="K32" s="108">
        <f t="shared" si="26"/>
        <v>0</v>
      </c>
      <c r="L32" s="109"/>
      <c r="Z32" s="101">
        <f t="shared" si="27"/>
        <v>0</v>
      </c>
      <c r="AB32" s="101">
        <f t="shared" si="28"/>
        <v>0</v>
      </c>
      <c r="AC32" s="101">
        <f t="shared" si="29"/>
        <v>0</v>
      </c>
      <c r="AD32" s="101">
        <f t="shared" si="30"/>
        <v>0</v>
      </c>
      <c r="AE32" s="101">
        <f t="shared" si="31"/>
        <v>0</v>
      </c>
      <c r="AF32" s="101">
        <f t="shared" si="32"/>
        <v>0</v>
      </c>
      <c r="AG32" s="101">
        <f t="shared" si="33"/>
        <v>0</v>
      </c>
      <c r="AH32" s="101">
        <f t="shared" si="34"/>
        <v>0</v>
      </c>
      <c r="AI32" s="93" t="s">
        <v>362</v>
      </c>
      <c r="AJ32" s="108">
        <f t="shared" si="35"/>
        <v>0</v>
      </c>
      <c r="AK32" s="108">
        <f t="shared" si="36"/>
        <v>0</v>
      </c>
      <c r="AL32" s="108">
        <f t="shared" si="37"/>
        <v>0</v>
      </c>
      <c r="AN32" s="101">
        <v>21</v>
      </c>
      <c r="AO32" s="101">
        <f t="shared" si="38"/>
        <v>0</v>
      </c>
      <c r="AP32" s="101">
        <f t="shared" si="39"/>
        <v>0</v>
      </c>
      <c r="AQ32" s="109" t="s">
        <v>365</v>
      </c>
      <c r="AV32" s="101">
        <f t="shared" si="40"/>
        <v>0</v>
      </c>
      <c r="AW32" s="101">
        <f t="shared" si="41"/>
        <v>0</v>
      </c>
      <c r="AX32" s="101">
        <f t="shared" si="42"/>
        <v>0</v>
      </c>
      <c r="AY32" s="102" t="s">
        <v>371</v>
      </c>
      <c r="AZ32" s="102" t="s">
        <v>382</v>
      </c>
      <c r="BA32" s="93" t="s">
        <v>395</v>
      </c>
      <c r="BC32" s="101">
        <f t="shared" si="43"/>
        <v>0</v>
      </c>
      <c r="BD32" s="101">
        <f t="shared" si="44"/>
        <v>0</v>
      </c>
      <c r="BE32" s="101">
        <v>0</v>
      </c>
      <c r="BF32" s="101">
        <f>32</f>
        <v>32</v>
      </c>
      <c r="BH32" s="108">
        <f t="shared" si="45"/>
        <v>0</v>
      </c>
      <c r="BI32" s="108">
        <f t="shared" si="46"/>
        <v>0</v>
      </c>
      <c r="BJ32" s="108">
        <f t="shared" si="47"/>
        <v>0</v>
      </c>
    </row>
    <row r="33" spans="1:62" ht="12.75">
      <c r="A33" s="15" t="s">
        <v>74</v>
      </c>
      <c r="B33" s="15" t="s">
        <v>213</v>
      </c>
      <c r="C33" s="55" t="s">
        <v>301</v>
      </c>
      <c r="D33" s="53"/>
      <c r="E33" s="53"/>
      <c r="F33" s="15" t="s">
        <v>327</v>
      </c>
      <c r="G33" s="24">
        <f>'Stavební rozpočet'!G120</f>
        <v>7</v>
      </c>
      <c r="H33" s="108">
        <f>'Stavební rozpočet'!H120</f>
        <v>0</v>
      </c>
      <c r="I33" s="108">
        <f t="shared" si="24"/>
        <v>0</v>
      </c>
      <c r="J33" s="108">
        <f t="shared" si="25"/>
        <v>0</v>
      </c>
      <c r="K33" s="108">
        <f t="shared" si="26"/>
        <v>0</v>
      </c>
      <c r="L33" s="109"/>
      <c r="Z33" s="101">
        <f t="shared" si="27"/>
        <v>0</v>
      </c>
      <c r="AB33" s="101">
        <f t="shared" si="28"/>
        <v>0</v>
      </c>
      <c r="AC33" s="101">
        <f t="shared" si="29"/>
        <v>0</v>
      </c>
      <c r="AD33" s="101">
        <f t="shared" si="30"/>
        <v>0</v>
      </c>
      <c r="AE33" s="101">
        <f t="shared" si="31"/>
        <v>0</v>
      </c>
      <c r="AF33" s="101">
        <f t="shared" si="32"/>
        <v>0</v>
      </c>
      <c r="AG33" s="101">
        <f t="shared" si="33"/>
        <v>0</v>
      </c>
      <c r="AH33" s="101">
        <f t="shared" si="34"/>
        <v>0</v>
      </c>
      <c r="AI33" s="93" t="s">
        <v>362</v>
      </c>
      <c r="AJ33" s="108">
        <f t="shared" si="35"/>
        <v>0</v>
      </c>
      <c r="AK33" s="108">
        <f t="shared" si="36"/>
        <v>0</v>
      </c>
      <c r="AL33" s="108">
        <f t="shared" si="37"/>
        <v>0</v>
      </c>
      <c r="AN33" s="101">
        <v>21</v>
      </c>
      <c r="AO33" s="101">
        <f t="shared" si="38"/>
        <v>0</v>
      </c>
      <c r="AP33" s="101">
        <f t="shared" si="39"/>
        <v>0</v>
      </c>
      <c r="AQ33" s="109" t="s">
        <v>365</v>
      </c>
      <c r="AV33" s="101">
        <f t="shared" si="40"/>
        <v>0</v>
      </c>
      <c r="AW33" s="101">
        <f t="shared" si="41"/>
        <v>0</v>
      </c>
      <c r="AX33" s="101">
        <f t="shared" si="42"/>
        <v>0</v>
      </c>
      <c r="AY33" s="102" t="s">
        <v>371</v>
      </c>
      <c r="AZ33" s="102" t="s">
        <v>382</v>
      </c>
      <c r="BA33" s="93" t="s">
        <v>395</v>
      </c>
      <c r="BC33" s="101">
        <f t="shared" si="43"/>
        <v>0</v>
      </c>
      <c r="BD33" s="101">
        <f t="shared" si="44"/>
        <v>0</v>
      </c>
      <c r="BE33" s="101">
        <v>0</v>
      </c>
      <c r="BF33" s="101">
        <f>33</f>
        <v>33</v>
      </c>
      <c r="BH33" s="108">
        <f t="shared" si="45"/>
        <v>0</v>
      </c>
      <c r="BI33" s="108">
        <f t="shared" si="46"/>
        <v>0</v>
      </c>
      <c r="BJ33" s="108">
        <f t="shared" si="47"/>
        <v>0</v>
      </c>
    </row>
    <row r="34" spans="1:62" ht="12.75">
      <c r="A34" s="15" t="s">
        <v>75</v>
      </c>
      <c r="B34" s="15" t="s">
        <v>213</v>
      </c>
      <c r="C34" s="55" t="s">
        <v>302</v>
      </c>
      <c r="D34" s="53"/>
      <c r="E34" s="53"/>
      <c r="F34" s="15" t="s">
        <v>327</v>
      </c>
      <c r="G34" s="24">
        <f>'Stavební rozpočet'!G121</f>
        <v>128</v>
      </c>
      <c r="H34" s="108">
        <f>'Stavební rozpočet'!H121</f>
        <v>0</v>
      </c>
      <c r="I34" s="108">
        <f t="shared" si="24"/>
        <v>0</v>
      </c>
      <c r="J34" s="108">
        <f t="shared" si="25"/>
        <v>0</v>
      </c>
      <c r="K34" s="108">
        <f t="shared" si="26"/>
        <v>0</v>
      </c>
      <c r="L34" s="109"/>
      <c r="Z34" s="101">
        <f t="shared" si="27"/>
        <v>0</v>
      </c>
      <c r="AB34" s="101">
        <f t="shared" si="28"/>
        <v>0</v>
      </c>
      <c r="AC34" s="101">
        <f t="shared" si="29"/>
        <v>0</v>
      </c>
      <c r="AD34" s="101">
        <f t="shared" si="30"/>
        <v>0</v>
      </c>
      <c r="AE34" s="101">
        <f t="shared" si="31"/>
        <v>0</v>
      </c>
      <c r="AF34" s="101">
        <f t="shared" si="32"/>
        <v>0</v>
      </c>
      <c r="AG34" s="101">
        <f t="shared" si="33"/>
        <v>0</v>
      </c>
      <c r="AH34" s="101">
        <f t="shared" si="34"/>
        <v>0</v>
      </c>
      <c r="AI34" s="93" t="s">
        <v>362</v>
      </c>
      <c r="AJ34" s="108">
        <f t="shared" si="35"/>
        <v>0</v>
      </c>
      <c r="AK34" s="108">
        <f t="shared" si="36"/>
        <v>0</v>
      </c>
      <c r="AL34" s="108">
        <f t="shared" si="37"/>
        <v>0</v>
      </c>
      <c r="AN34" s="101">
        <v>21</v>
      </c>
      <c r="AO34" s="101">
        <f t="shared" si="38"/>
        <v>0</v>
      </c>
      <c r="AP34" s="101">
        <f t="shared" si="39"/>
        <v>0</v>
      </c>
      <c r="AQ34" s="109" t="s">
        <v>365</v>
      </c>
      <c r="AV34" s="101">
        <f t="shared" si="40"/>
        <v>0</v>
      </c>
      <c r="AW34" s="101">
        <f t="shared" si="41"/>
        <v>0</v>
      </c>
      <c r="AX34" s="101">
        <f t="shared" si="42"/>
        <v>0</v>
      </c>
      <c r="AY34" s="102" t="s">
        <v>371</v>
      </c>
      <c r="AZ34" s="102" t="s">
        <v>382</v>
      </c>
      <c r="BA34" s="93" t="s">
        <v>395</v>
      </c>
      <c r="BC34" s="101">
        <f t="shared" si="43"/>
        <v>0</v>
      </c>
      <c r="BD34" s="101">
        <f t="shared" si="44"/>
        <v>0</v>
      </c>
      <c r="BE34" s="101">
        <v>0</v>
      </c>
      <c r="BF34" s="101">
        <f>34</f>
        <v>34</v>
      </c>
      <c r="BH34" s="108">
        <f t="shared" si="45"/>
        <v>0</v>
      </c>
      <c r="BI34" s="108">
        <f t="shared" si="46"/>
        <v>0</v>
      </c>
      <c r="BJ34" s="108">
        <f t="shared" si="47"/>
        <v>0</v>
      </c>
    </row>
    <row r="35" spans="1:62" ht="12.75">
      <c r="A35" s="15" t="s">
        <v>76</v>
      </c>
      <c r="B35" s="15" t="s">
        <v>213</v>
      </c>
      <c r="C35" s="55" t="s">
        <v>303</v>
      </c>
      <c r="D35" s="53"/>
      <c r="E35" s="53"/>
      <c r="F35" s="15" t="s">
        <v>327</v>
      </c>
      <c r="G35" s="24">
        <f>'Stavební rozpočet'!G122</f>
        <v>3</v>
      </c>
      <c r="H35" s="108">
        <f>'Stavební rozpočet'!H122</f>
        <v>0</v>
      </c>
      <c r="I35" s="108">
        <f t="shared" si="24"/>
        <v>0</v>
      </c>
      <c r="J35" s="108">
        <f t="shared" si="25"/>
        <v>0</v>
      </c>
      <c r="K35" s="108">
        <f t="shared" si="26"/>
        <v>0</v>
      </c>
      <c r="L35" s="109"/>
      <c r="Z35" s="101">
        <f t="shared" si="27"/>
        <v>0</v>
      </c>
      <c r="AB35" s="101">
        <f t="shared" si="28"/>
        <v>0</v>
      </c>
      <c r="AC35" s="101">
        <f t="shared" si="29"/>
        <v>0</v>
      </c>
      <c r="AD35" s="101">
        <f t="shared" si="30"/>
        <v>0</v>
      </c>
      <c r="AE35" s="101">
        <f t="shared" si="31"/>
        <v>0</v>
      </c>
      <c r="AF35" s="101">
        <f t="shared" si="32"/>
        <v>0</v>
      </c>
      <c r="AG35" s="101">
        <f t="shared" si="33"/>
        <v>0</v>
      </c>
      <c r="AH35" s="101">
        <f t="shared" si="34"/>
        <v>0</v>
      </c>
      <c r="AI35" s="93" t="s">
        <v>362</v>
      </c>
      <c r="AJ35" s="108">
        <f t="shared" si="35"/>
        <v>0</v>
      </c>
      <c r="AK35" s="108">
        <f t="shared" si="36"/>
        <v>0</v>
      </c>
      <c r="AL35" s="108">
        <f t="shared" si="37"/>
        <v>0</v>
      </c>
      <c r="AN35" s="101">
        <v>21</v>
      </c>
      <c r="AO35" s="101">
        <f t="shared" si="38"/>
        <v>0</v>
      </c>
      <c r="AP35" s="101">
        <f t="shared" si="39"/>
        <v>0</v>
      </c>
      <c r="AQ35" s="109" t="s">
        <v>365</v>
      </c>
      <c r="AV35" s="101">
        <f t="shared" si="40"/>
        <v>0</v>
      </c>
      <c r="AW35" s="101">
        <f t="shared" si="41"/>
        <v>0</v>
      </c>
      <c r="AX35" s="101">
        <f t="shared" si="42"/>
        <v>0</v>
      </c>
      <c r="AY35" s="102" t="s">
        <v>371</v>
      </c>
      <c r="AZ35" s="102" t="s">
        <v>382</v>
      </c>
      <c r="BA35" s="93" t="s">
        <v>395</v>
      </c>
      <c r="BC35" s="101">
        <f t="shared" si="43"/>
        <v>0</v>
      </c>
      <c r="BD35" s="101">
        <f t="shared" si="44"/>
        <v>0</v>
      </c>
      <c r="BE35" s="101">
        <v>0</v>
      </c>
      <c r="BF35" s="101">
        <f>35</f>
        <v>35</v>
      </c>
      <c r="BH35" s="108">
        <f t="shared" si="45"/>
        <v>0</v>
      </c>
      <c r="BI35" s="108">
        <f t="shared" si="46"/>
        <v>0</v>
      </c>
      <c r="BJ35" s="108">
        <f t="shared" si="47"/>
        <v>0</v>
      </c>
    </row>
    <row r="36" spans="1:12" ht="12.75">
      <c r="A36" s="14"/>
      <c r="B36" s="21"/>
      <c r="C36" s="50" t="s">
        <v>304</v>
      </c>
      <c r="D36" s="51"/>
      <c r="E36" s="51"/>
      <c r="F36" s="14" t="s">
        <v>56</v>
      </c>
      <c r="G36" s="14" t="s">
        <v>56</v>
      </c>
      <c r="H36" s="103" t="s">
        <v>56</v>
      </c>
      <c r="I36" s="104">
        <f>I37</f>
        <v>0</v>
      </c>
      <c r="J36" s="104">
        <f>J37</f>
        <v>0</v>
      </c>
      <c r="K36" s="104">
        <f>K37</f>
        <v>0</v>
      </c>
      <c r="L36" s="105"/>
    </row>
    <row r="37" spans="1:47" ht="12.75">
      <c r="A37" s="12"/>
      <c r="B37" s="20"/>
      <c r="C37" s="46" t="s">
        <v>10</v>
      </c>
      <c r="D37" s="47"/>
      <c r="E37" s="47"/>
      <c r="F37" s="12" t="s">
        <v>56</v>
      </c>
      <c r="G37" s="12" t="s">
        <v>56</v>
      </c>
      <c r="H37" s="97" t="s">
        <v>56</v>
      </c>
      <c r="I37" s="98">
        <f>SUM(I38:I38)</f>
        <v>0</v>
      </c>
      <c r="J37" s="98">
        <f>SUM(J38:J38)</f>
        <v>0</v>
      </c>
      <c r="K37" s="98">
        <f>SUM(K38:K38)</f>
        <v>0</v>
      </c>
      <c r="L37" s="93"/>
      <c r="AI37" s="93" t="s">
        <v>363</v>
      </c>
      <c r="AS37" s="98">
        <f>SUM(AJ38:AJ38)</f>
        <v>0</v>
      </c>
      <c r="AT37" s="98">
        <f>SUM(AK38:AK38)</f>
        <v>0</v>
      </c>
      <c r="AU37" s="98">
        <f>SUM(AL38:AL38)</f>
        <v>0</v>
      </c>
    </row>
    <row r="38" spans="1:62" ht="12.75">
      <c r="A38" s="15" t="s">
        <v>77</v>
      </c>
      <c r="B38" s="15" t="s">
        <v>220</v>
      </c>
      <c r="C38" s="55" t="s">
        <v>310</v>
      </c>
      <c r="D38" s="53"/>
      <c r="E38" s="53"/>
      <c r="F38" s="15" t="s">
        <v>330</v>
      </c>
      <c r="G38" s="24">
        <f>'Stavební rozpočet'!G133</f>
        <v>862</v>
      </c>
      <c r="H38" s="108">
        <f>'Stavební rozpočet'!H133</f>
        <v>0</v>
      </c>
      <c r="I38" s="108">
        <f>G38*AO38</f>
        <v>0</v>
      </c>
      <c r="J38" s="108">
        <f>G38*AP38</f>
        <v>0</v>
      </c>
      <c r="K38" s="108">
        <f>G38*H38</f>
        <v>0</v>
      </c>
      <c r="L38" s="109"/>
      <c r="Z38" s="101">
        <f>IF(AQ38="5",BJ38,0)</f>
        <v>0</v>
      </c>
      <c r="AB38" s="101">
        <f>IF(AQ38="1",BH38,0)</f>
        <v>0</v>
      </c>
      <c r="AC38" s="101">
        <f>IF(AQ38="1",BI38,0)</f>
        <v>0</v>
      </c>
      <c r="AD38" s="101">
        <f>IF(AQ38="7",BH38,0)</f>
        <v>0</v>
      </c>
      <c r="AE38" s="101">
        <f>IF(AQ38="7",BI38,0)</f>
        <v>0</v>
      </c>
      <c r="AF38" s="101">
        <f>IF(AQ38="2",BH38,0)</f>
        <v>0</v>
      </c>
      <c r="AG38" s="101">
        <f>IF(AQ38="2",BI38,0)</f>
        <v>0</v>
      </c>
      <c r="AH38" s="101">
        <f>IF(AQ38="0",BJ38,0)</f>
        <v>0</v>
      </c>
      <c r="AI38" s="93" t="s">
        <v>363</v>
      </c>
      <c r="AJ38" s="108">
        <f>IF(AN38=0,K38,0)</f>
        <v>0</v>
      </c>
      <c r="AK38" s="108">
        <f>IF(AN38=15,K38,0)</f>
        <v>0</v>
      </c>
      <c r="AL38" s="108">
        <f>IF(AN38=21,K38,0)</f>
        <v>0</v>
      </c>
      <c r="AN38" s="101">
        <v>21</v>
      </c>
      <c r="AO38" s="101">
        <f>H38*1</f>
        <v>0</v>
      </c>
      <c r="AP38" s="101">
        <f>H38*(1-1)</f>
        <v>0</v>
      </c>
      <c r="AQ38" s="109" t="s">
        <v>365</v>
      </c>
      <c r="AV38" s="101">
        <f>AW38+AX38</f>
        <v>0</v>
      </c>
      <c r="AW38" s="101">
        <f>G38*AO38</f>
        <v>0</v>
      </c>
      <c r="AX38" s="101">
        <f>G38*AP38</f>
        <v>0</v>
      </c>
      <c r="AY38" s="102" t="s">
        <v>371</v>
      </c>
      <c r="AZ38" s="102" t="s">
        <v>385</v>
      </c>
      <c r="BA38" s="93" t="s">
        <v>396</v>
      </c>
      <c r="BC38" s="101">
        <f>AW38+AX38</f>
        <v>0</v>
      </c>
      <c r="BD38" s="101">
        <f>H38/(100-BE38)*100</f>
        <v>0</v>
      </c>
      <c r="BE38" s="101">
        <v>0</v>
      </c>
      <c r="BF38" s="101">
        <f>38</f>
        <v>38</v>
      </c>
      <c r="BH38" s="108">
        <f>G38*AO38</f>
        <v>0</v>
      </c>
      <c r="BI38" s="108">
        <f>G38*AP38</f>
        <v>0</v>
      </c>
      <c r="BJ38" s="108">
        <f>G38*H38</f>
        <v>0</v>
      </c>
    </row>
    <row r="39" spans="1:12" ht="12.75">
      <c r="A39" s="14"/>
      <c r="B39" s="21"/>
      <c r="C39" s="50" t="s">
        <v>311</v>
      </c>
      <c r="D39" s="51"/>
      <c r="E39" s="51"/>
      <c r="F39" s="14" t="s">
        <v>56</v>
      </c>
      <c r="G39" s="14" t="s">
        <v>56</v>
      </c>
      <c r="H39" s="103" t="s">
        <v>56</v>
      </c>
      <c r="I39" s="104">
        <f>I40</f>
        <v>0</v>
      </c>
      <c r="J39" s="104">
        <f>J40</f>
        <v>0</v>
      </c>
      <c r="K39" s="104">
        <f>K40</f>
        <v>0</v>
      </c>
      <c r="L39" s="105"/>
    </row>
    <row r="40" spans="1:47" ht="12.75">
      <c r="A40" s="12"/>
      <c r="B40" s="20"/>
      <c r="C40" s="46" t="s">
        <v>10</v>
      </c>
      <c r="D40" s="47"/>
      <c r="E40" s="47"/>
      <c r="F40" s="12" t="s">
        <v>56</v>
      </c>
      <c r="G40" s="12" t="s">
        <v>56</v>
      </c>
      <c r="H40" s="97" t="s">
        <v>56</v>
      </c>
      <c r="I40" s="98">
        <f>SUM(I41:I41)</f>
        <v>0</v>
      </c>
      <c r="J40" s="98">
        <f>SUM(J41:J41)</f>
        <v>0</v>
      </c>
      <c r="K40" s="98">
        <f>SUM(K41:K41)</f>
        <v>0</v>
      </c>
      <c r="L40" s="93"/>
      <c r="AI40" s="93" t="s">
        <v>364</v>
      </c>
      <c r="AS40" s="98">
        <f>SUM(AJ41:AJ41)</f>
        <v>0</v>
      </c>
      <c r="AT40" s="98">
        <f>SUM(AK41:AK41)</f>
        <v>0</v>
      </c>
      <c r="AU40" s="98">
        <f>SUM(AL41:AL41)</f>
        <v>0</v>
      </c>
    </row>
    <row r="41" spans="1:62" ht="12.75">
      <c r="A41" s="16" t="s">
        <v>78</v>
      </c>
      <c r="B41" s="16" t="s">
        <v>212</v>
      </c>
      <c r="C41" s="58" t="s">
        <v>318</v>
      </c>
      <c r="D41" s="59"/>
      <c r="E41" s="59"/>
      <c r="F41" s="16" t="s">
        <v>324</v>
      </c>
      <c r="G41" s="25">
        <f>'Stavební rozpočet'!G145</f>
        <v>352.5</v>
      </c>
      <c r="H41" s="112">
        <f>'Stavební rozpočet'!H145</f>
        <v>0</v>
      </c>
      <c r="I41" s="112">
        <f>G41*AO41</f>
        <v>0</v>
      </c>
      <c r="J41" s="112">
        <f>G41*AP41</f>
        <v>0</v>
      </c>
      <c r="K41" s="112">
        <f>G41*H41</f>
        <v>0</v>
      </c>
      <c r="L41" s="113" t="s">
        <v>345</v>
      </c>
      <c r="Z41" s="101">
        <f>IF(AQ41="5",BJ41,0)</f>
        <v>0</v>
      </c>
      <c r="AB41" s="101">
        <f>IF(AQ41="1",BH41,0)</f>
        <v>0</v>
      </c>
      <c r="AC41" s="101">
        <f>IF(AQ41="1",BI41,0)</f>
        <v>0</v>
      </c>
      <c r="AD41" s="101">
        <f>IF(AQ41="7",BH41,0)</f>
        <v>0</v>
      </c>
      <c r="AE41" s="101">
        <f>IF(AQ41="7",BI41,0)</f>
        <v>0</v>
      </c>
      <c r="AF41" s="101">
        <f>IF(AQ41="2",BH41,0)</f>
        <v>0</v>
      </c>
      <c r="AG41" s="101">
        <f>IF(AQ41="2",BI41,0)</f>
        <v>0</v>
      </c>
      <c r="AH41" s="101">
        <f>IF(AQ41="0",BJ41,0)</f>
        <v>0</v>
      </c>
      <c r="AI41" s="93" t="s">
        <v>364</v>
      </c>
      <c r="AJ41" s="108">
        <f>IF(AN41=0,K41,0)</f>
        <v>0</v>
      </c>
      <c r="AK41" s="108">
        <f>IF(AN41=15,K41,0)</f>
        <v>0</v>
      </c>
      <c r="AL41" s="108">
        <f>IF(AN41=21,K41,0)</f>
        <v>0</v>
      </c>
      <c r="AN41" s="101">
        <v>21</v>
      </c>
      <c r="AO41" s="101">
        <f>H41*1</f>
        <v>0</v>
      </c>
      <c r="AP41" s="101">
        <f>H41*(1-1)</f>
        <v>0</v>
      </c>
      <c r="AQ41" s="109" t="s">
        <v>365</v>
      </c>
      <c r="AV41" s="101">
        <f>AW41+AX41</f>
        <v>0</v>
      </c>
      <c r="AW41" s="101">
        <f>G41*AO41</f>
        <v>0</v>
      </c>
      <c r="AX41" s="101">
        <f>G41*AP41</f>
        <v>0</v>
      </c>
      <c r="AY41" s="102" t="s">
        <v>371</v>
      </c>
      <c r="AZ41" s="102" t="s">
        <v>388</v>
      </c>
      <c r="BA41" s="93" t="s">
        <v>397</v>
      </c>
      <c r="BC41" s="101">
        <f>AW41+AX41</f>
        <v>0</v>
      </c>
      <c r="BD41" s="101">
        <f>H41/(100-BE41)*100</f>
        <v>0</v>
      </c>
      <c r="BE41" s="101">
        <v>0</v>
      </c>
      <c r="BF41" s="101">
        <f>41</f>
        <v>41</v>
      </c>
      <c r="BH41" s="108">
        <f>G41*AO41</f>
        <v>0</v>
      </c>
      <c r="BI41" s="108">
        <f>G41*AP41</f>
        <v>0</v>
      </c>
      <c r="BJ41" s="108">
        <f>G41*H41</f>
        <v>0</v>
      </c>
    </row>
    <row r="42" spans="1:12" ht="12.75">
      <c r="A42" s="114"/>
      <c r="B42" s="114"/>
      <c r="C42" s="114"/>
      <c r="D42" s="114"/>
      <c r="E42" s="114"/>
      <c r="F42" s="114"/>
      <c r="G42" s="114"/>
      <c r="H42" s="114"/>
      <c r="I42" s="115" t="s">
        <v>340</v>
      </c>
      <c r="J42" s="116"/>
      <c r="K42" s="117">
        <f>K13+K22+K37+K40</f>
        <v>0</v>
      </c>
      <c r="L42" s="114"/>
    </row>
    <row r="43" ht="10.5" customHeight="1">
      <c r="A43" s="118" t="s">
        <v>18</v>
      </c>
    </row>
    <row r="44" spans="1:12" ht="12.75" customHeight="1">
      <c r="A44" s="77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</sheetData>
  <sheetProtection password="CC09" sheet="1" objects="1" scenarios="1" selectLockedCells="1"/>
  <mergeCells count="60">
    <mergeCell ref="C39:E39"/>
    <mergeCell ref="C40:E40"/>
    <mergeCell ref="C41:E41"/>
    <mergeCell ref="I42:J42"/>
    <mergeCell ref="A44:L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Suchánková</cp:lastModifiedBy>
  <dcterms:modified xsi:type="dcterms:W3CDTF">2019-12-02T07:52:12Z</dcterms:modified>
  <cp:category/>
  <cp:version/>
  <cp:contentType/>
  <cp:contentStatus/>
</cp:coreProperties>
</file>