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25" yWindow="0" windowWidth="12885" windowHeight="12630" firstSheet="2" activeTab="5"/>
  </bookViews>
  <sheets>
    <sheet name="Krycí list rozpočtu" sheetId="1" r:id="rId1"/>
    <sheet name="Rekapitulace" sheetId="2" r:id="rId2"/>
    <sheet name="Krycí list stavební část" sheetId="3" r:id="rId3"/>
    <sheet name="Stavební rozpočet - součet" sheetId="4" r:id="rId4"/>
    <sheet name="Stavební rozpočet" sheetId="5" r:id="rId5"/>
    <sheet name="elektro" sheetId="6" r:id="rId6"/>
  </sheets>
  <definedNames/>
  <calcPr fullCalcOnLoad="1"/>
</workbook>
</file>

<file path=xl/sharedStrings.xml><?xml version="1.0" encoding="utf-8"?>
<sst xmlns="http://schemas.openxmlformats.org/spreadsheetml/2006/main" count="2551" uniqueCount="962">
  <si>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</si>
  <si>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</si>
  <si>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</si>
  <si>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</si>
  <si>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</si>
  <si>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</si>
  <si>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</si>
  <si>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</si>
  <si>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</si>
  <si>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</si>
  <si>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</si>
  <si>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</si>
  <si>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</si>
  <si>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</si>
  <si>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</si>
  <si>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</si>
  <si>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</si>
  <si>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</si>
  <si>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</si>
  <si>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</si>
  <si>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</si>
  <si>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</si>
  <si>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</si>
  <si>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</si>
  <si>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</si>
  <si>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</si>
  <si>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</si>
  <si>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</si>
  <si>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</si>
  <si>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</si>
  <si>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</si>
  <si>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</si>
  <si>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</si>
  <si>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</si>
  <si>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</si>
  <si>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</si>
  <si>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</si>
  <si>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</si>
  <si>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</si>
  <si>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</si>
  <si>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</si>
  <si>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</si>
  <si>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</si>
  <si>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</si>
  <si>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</si>
  <si>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</si>
  <si>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</si>
  <si>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</si>
  <si>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</si>
  <si>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</si>
  <si>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</si>
  <si>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</si>
  <si>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</si>
  <si>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</si>
  <si>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</si>
  <si>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</si>
  <si>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</si>
  <si>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</si>
  <si>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</si>
  <si>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</si>
  <si>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</si>
  <si>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</si>
  <si>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</si>
  <si>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</si>
  <si>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</si>
  <si>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</si>
  <si>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</si>
  <si>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</si>
  <si>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</si>
  <si>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</si>
  <si>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</si>
  <si>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</si>
  <si>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</si>
  <si>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</si>
  <si>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</si>
  <si>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</si>
  <si>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</si>
  <si>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</si>
  <si>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</si>
  <si>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</si>
  <si>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</si>
  <si>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</si>
  <si>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</si>
  <si>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</si>
  <si>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</si>
  <si>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</si>
  <si>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</si>
  <si>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</si>
  <si>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</si>
  <si>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</si>
  <si>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</si>
  <si>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</si>
  <si>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</si>
  <si>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</si>
  <si>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</si>
  <si>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</si>
  <si>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</si>
  <si>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</si>
  <si>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</si>
  <si>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</si>
  <si>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</si>
  <si>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</si>
  <si>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</si>
  <si>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</si>
  <si>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</si>
  <si>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</si>
  <si>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</si>
  <si>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</si>
  <si>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</si>
  <si>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</si>
  <si>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</si>
  <si>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</si>
  <si>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</si>
  <si>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</si>
  <si>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</si>
  <si>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</si>
  <si>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</si>
  <si>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</si>
  <si>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</si>
  <si>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</si>
  <si>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</si>
  <si>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</si>
  <si>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</si>
  <si>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</si>
  <si>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</si>
  <si>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</si>
  <si>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</si>
  <si>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</si>
  <si>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</si>
  <si>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</si>
  <si>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</si>
  <si>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</si>
  <si>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</si>
  <si>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</si>
  <si>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</si>
  <si>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</si>
  <si>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</si>
  <si>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</si>
  <si>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</si>
  <si>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</si>
  <si>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</si>
  <si>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</si>
  <si>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</si>
  <si>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</si>
  <si>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</si>
  <si>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</si>
  <si>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</si>
  <si>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</si>
  <si>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</si>
  <si>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</si>
  <si>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</si>
  <si>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</si>
  <si>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</si>
  <si>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</si>
  <si>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</si>
  <si>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</si>
  <si>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</si>
  <si>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</si>
  <si>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</si>
  <si>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</si>
  <si>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</si>
  <si>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</si>
  <si>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</si>
  <si>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</si>
  <si>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</si>
  <si>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</si>
  <si>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</si>
  <si>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</si>
  <si>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</si>
  <si>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</si>
  <si>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</si>
  <si>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</si>
  <si>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</si>
  <si>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</si>
  <si>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</si>
  <si>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</si>
  <si>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</si>
  <si>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</si>
  <si>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</si>
  <si>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</si>
  <si>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</si>
  <si>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</si>
  <si>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</si>
  <si>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</si>
  <si>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</si>
  <si>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</si>
  <si>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</si>
  <si>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</si>
  <si>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</si>
  <si>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</si>
  <si>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</si>
  <si>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</si>
  <si>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</si>
  <si>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</si>
  <si>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</si>
  <si>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</si>
  <si>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Poznámka:</t>
  </si>
  <si>
    <t>Součástí položek uvedených ve výkazu výměr jsou veškeré s nimi spojené práce, které jsou zapotřebí pro provedení kompletní dodávky díla. A to i když nejsou zvlášt uvedeny ve výkazu výměr.To znamená, že veškeré položky patrné z výkazu,výkresů a tech.zpráv je třeba v nabídkové ceně doplnit a ocenit jako kompletně vykonané práce včetně materiálů,nářadí a strojů nutných k práci i když tyto nejsou ve výkazu výměr vypsány zvlášt. V případě, že má zhotovitel pochyby ohledně plánovaných položek ve výkazech,výkresech a tech.zpráv,má za povinost toto zdělit před odevzdáním nabídkové ceny. Zdělení před ukončením výběrového řízení se také týká správnosti výkazů (výpočtů) a všech součástí PD a rozpočtu. Při zpravování nabídky je nutno studovat výkaz výměr společně s PD. Po odevzdání nebude brán na zhotovitelem požadované položky na víc zřetel. Předkládaný materiál k ocenění je pouze výkazem výměr. Nabídková cena musí obsahovat veškeré položky nutné k dokončení díla-t.j. např. kompletní zařízení staveniště a režie výstavby v četně všech poplatků,přesun hmot,lešení,ochrana proti hluku a prašnosti,dodavatelská dokumentace pro výrobní přípravu stavby,náklady na požadavky DOSS jako např. pasportizace okolních staveb a chodníku,úklid stavby atd... U specifikací materiálů není-li uvedeno jinak je nutná konzultace s investorem-zohlednění jeko konkrétních požadavků.</t>
  </si>
  <si>
    <t>Kód</t>
  </si>
  <si>
    <t>342270042RA0</t>
  </si>
  <si>
    <t>317120033RAB</t>
  </si>
  <si>
    <t>625981131RT2</t>
  </si>
  <si>
    <t>625981131RT3</t>
  </si>
  <si>
    <t>342948111R00</t>
  </si>
  <si>
    <t>416021123R00</t>
  </si>
  <si>
    <t>416021121R00</t>
  </si>
  <si>
    <t>610991111R00</t>
  </si>
  <si>
    <t>612421615R00</t>
  </si>
  <si>
    <t>612421739R00</t>
  </si>
  <si>
    <t>220261665R00IM</t>
  </si>
  <si>
    <t>632423102R00</t>
  </si>
  <si>
    <t>553506380</t>
  </si>
  <si>
    <t>631312611R00</t>
  </si>
  <si>
    <t>631361921RT4</t>
  </si>
  <si>
    <t>642942112RT3</t>
  </si>
  <si>
    <t>721</t>
  </si>
  <si>
    <t>721R00</t>
  </si>
  <si>
    <t>722</t>
  </si>
  <si>
    <t>722R00</t>
  </si>
  <si>
    <t>723</t>
  </si>
  <si>
    <t>723R00</t>
  </si>
  <si>
    <t>725</t>
  </si>
  <si>
    <t>725119305R00</t>
  </si>
  <si>
    <t>64233599</t>
  </si>
  <si>
    <t>725114921R00</t>
  </si>
  <si>
    <t>551674502</t>
  </si>
  <si>
    <t>725219401R00</t>
  </si>
  <si>
    <t>64221350</t>
  </si>
  <si>
    <t>64214440</t>
  </si>
  <si>
    <t>725249106R00</t>
  </si>
  <si>
    <t>55231896</t>
  </si>
  <si>
    <t>725860222RT1</t>
  </si>
  <si>
    <t>725823514R00</t>
  </si>
  <si>
    <t>725835813RT0</t>
  </si>
  <si>
    <t>725823611RT1</t>
  </si>
  <si>
    <t>725845811RT1</t>
  </si>
  <si>
    <t>763</t>
  </si>
  <si>
    <t>763614232RT6</t>
  </si>
  <si>
    <t>766</t>
  </si>
  <si>
    <t>766 dodávka R00</t>
  </si>
  <si>
    <t>766825899R00</t>
  </si>
  <si>
    <t>762330811R00</t>
  </si>
  <si>
    <t>766661112R00</t>
  </si>
  <si>
    <t>dodávka</t>
  </si>
  <si>
    <t>767</t>
  </si>
  <si>
    <t>767644110R00</t>
  </si>
  <si>
    <t>767 repese R00</t>
  </si>
  <si>
    <t>767 demontáž R00</t>
  </si>
  <si>
    <t>771</t>
  </si>
  <si>
    <t>771101101R00</t>
  </si>
  <si>
    <t>771101115R00</t>
  </si>
  <si>
    <t>771101210R00</t>
  </si>
  <si>
    <t>771101142R00</t>
  </si>
  <si>
    <t>771101147R00</t>
  </si>
  <si>
    <t>771111122R00</t>
  </si>
  <si>
    <t>771130111R00</t>
  </si>
  <si>
    <t>771575118R00</t>
  </si>
  <si>
    <t>775</t>
  </si>
  <si>
    <t>775591900R00</t>
  </si>
  <si>
    <t>775599130R00</t>
  </si>
  <si>
    <t>775599141R00</t>
  </si>
  <si>
    <t>775540001R00</t>
  </si>
  <si>
    <t>775542000R00</t>
  </si>
  <si>
    <t>28318</t>
  </si>
  <si>
    <t>775542R00</t>
  </si>
  <si>
    <t>781</t>
  </si>
  <si>
    <t>781101111R00</t>
  </si>
  <si>
    <t>781101210R00</t>
  </si>
  <si>
    <t>781101142R00</t>
  </si>
  <si>
    <t>781111121R00</t>
  </si>
  <si>
    <t>781320121R00</t>
  </si>
  <si>
    <t>781230111R00</t>
  </si>
  <si>
    <t>784</t>
  </si>
  <si>
    <t>784402801R00</t>
  </si>
  <si>
    <t>784191201R00</t>
  </si>
  <si>
    <t>784191101R00</t>
  </si>
  <si>
    <t>784195112R00</t>
  </si>
  <si>
    <t>784195199R00</t>
  </si>
  <si>
    <t>902      R00</t>
  </si>
  <si>
    <t>905      R01</t>
  </si>
  <si>
    <t>904      R02</t>
  </si>
  <si>
    <t>905      R02</t>
  </si>
  <si>
    <t>909      R00</t>
  </si>
  <si>
    <t>900      R02</t>
  </si>
  <si>
    <t>900      R04</t>
  </si>
  <si>
    <t>941955003R00</t>
  </si>
  <si>
    <t>952901111R00</t>
  </si>
  <si>
    <t>952902110R00</t>
  </si>
  <si>
    <t>55428.A</t>
  </si>
  <si>
    <t>952902R00</t>
  </si>
  <si>
    <t>766111820R00</t>
  </si>
  <si>
    <t>962032241R00</t>
  </si>
  <si>
    <t>978013141R00</t>
  </si>
  <si>
    <t>775521800R00</t>
  </si>
  <si>
    <t>965081712RT1</t>
  </si>
  <si>
    <t>965041321RT1</t>
  </si>
  <si>
    <t>781900010RA0</t>
  </si>
  <si>
    <t>968072455R00</t>
  </si>
  <si>
    <t>968061125R00</t>
  </si>
  <si>
    <t>725110811R00</t>
  </si>
  <si>
    <t>725220832R00</t>
  </si>
  <si>
    <t>725210821R00</t>
  </si>
  <si>
    <t>725820803R00</t>
  </si>
  <si>
    <t>766812840R00</t>
  </si>
  <si>
    <t>725610810R00</t>
  </si>
  <si>
    <t>766825821R00</t>
  </si>
  <si>
    <t>974051413R00</t>
  </si>
  <si>
    <t>S</t>
  </si>
  <si>
    <t>979011111R00</t>
  </si>
  <si>
    <t>979081111RT2</t>
  </si>
  <si>
    <t>979081121RT2</t>
  </si>
  <si>
    <t>979086213R00</t>
  </si>
  <si>
    <t>979086112R00</t>
  </si>
  <si>
    <t>979087311R00</t>
  </si>
  <si>
    <t>979087392R00</t>
  </si>
  <si>
    <t>979990106R00</t>
  </si>
  <si>
    <t>979990104R00</t>
  </si>
  <si>
    <t>979990111R00</t>
  </si>
  <si>
    <t>979990161R00</t>
  </si>
  <si>
    <t>979951112R00</t>
  </si>
  <si>
    <t>979097011R00</t>
  </si>
  <si>
    <t>H99</t>
  </si>
  <si>
    <t>999281105R00</t>
  </si>
  <si>
    <t>M22</t>
  </si>
  <si>
    <t>220 1R00</t>
  </si>
  <si>
    <t>220 2R00</t>
  </si>
  <si>
    <t>220 3R00</t>
  </si>
  <si>
    <t>220 4R00</t>
  </si>
  <si>
    <t>M23</t>
  </si>
  <si>
    <t>230180018R00</t>
  </si>
  <si>
    <t>230180015R00</t>
  </si>
  <si>
    <t>230180024R00</t>
  </si>
  <si>
    <t>230180028R00</t>
  </si>
  <si>
    <t>28615201.A</t>
  </si>
  <si>
    <t>28615214.A</t>
  </si>
  <si>
    <t>28615224.A</t>
  </si>
  <si>
    <t>28615234.A</t>
  </si>
  <si>
    <t>230120199R00</t>
  </si>
  <si>
    <t>28615352.A</t>
  </si>
  <si>
    <t>28615365.A</t>
  </si>
  <si>
    <t>28615361.A</t>
  </si>
  <si>
    <t>230180896R00</t>
  </si>
  <si>
    <t>230170013R00</t>
  </si>
  <si>
    <t>230180089R00</t>
  </si>
  <si>
    <t>230120093R00</t>
  </si>
  <si>
    <t>28615152</t>
  </si>
  <si>
    <t>283771008</t>
  </si>
  <si>
    <t>722264326R00</t>
  </si>
  <si>
    <t>388214362</t>
  </si>
  <si>
    <t>722264396R00</t>
  </si>
  <si>
    <t>734291912R00</t>
  </si>
  <si>
    <t>5513899164</t>
  </si>
  <si>
    <t>5513859165</t>
  </si>
  <si>
    <t>230170001R00</t>
  </si>
  <si>
    <t>230170011R00</t>
  </si>
  <si>
    <t>230170019R00</t>
  </si>
  <si>
    <t>230140005R00</t>
  </si>
  <si>
    <t>230140005AR00</t>
  </si>
  <si>
    <t>230230001R00</t>
  </si>
  <si>
    <t>230230016R00</t>
  </si>
  <si>
    <t>230071865R00</t>
  </si>
  <si>
    <t>736211204R00</t>
  </si>
  <si>
    <t>341962713</t>
  </si>
  <si>
    <t>341962714</t>
  </si>
  <si>
    <t>735110912R00</t>
  </si>
  <si>
    <t>733191914R00</t>
  </si>
  <si>
    <t>210290601R00</t>
  </si>
  <si>
    <t>484518192</t>
  </si>
  <si>
    <t>100 1 VON</t>
  </si>
  <si>
    <t>100 2 VON</t>
  </si>
  <si>
    <t>100 1 rezerva</t>
  </si>
  <si>
    <t>NZM Praha úprava bytu 1+1/1.PP</t>
  </si>
  <si>
    <t>rekonstrukce, stavební část</t>
  </si>
  <si>
    <t>Praha</t>
  </si>
  <si>
    <t>Zkrácený popis / Varianta</t>
  </si>
  <si>
    <t>Rozměry</t>
  </si>
  <si>
    <t>Stěny a příčky</t>
  </si>
  <si>
    <t>Příčka z desek Ytong hladkých, tloušťka 10 cm</t>
  </si>
  <si>
    <t>(0,65+0,3+0,5+1,23+0,1+1+1,99+0,3+2,02+0,26)*2,85   </t>
  </si>
  <si>
    <t>-(0,65*2,1*2)   </t>
  </si>
  <si>
    <t>Překlad nenosný Ytong</t>
  </si>
  <si>
    <t>překlad 125 x 25 x 10 cm</t>
  </si>
  <si>
    <t>2   </t>
  </si>
  <si>
    <t>Obklad příčkovkou Ytong beton. konstr. do bednění</t>
  </si>
  <si>
    <t>příčkovka Ytong 599 x 249 x 75 mm</t>
  </si>
  <si>
    <t>1,18*2,85   předstěnky, předzdívky</t>
  </si>
  <si>
    <t>příčkovka Ytong 599 x 249 x 100 mm</t>
  </si>
  <si>
    <t>1,1*2,85   </t>
  </si>
  <si>
    <t>Ukotvení příček k cihel.konstr. kotvami na hmožd.</t>
  </si>
  <si>
    <t>2,85*7   </t>
  </si>
  <si>
    <t>Stropy a stropní konstrukce (pro pozemní stavby)</t>
  </si>
  <si>
    <t>Podhledy SDK, kovová.kce CD. 1x deska RBI 12,5 mm</t>
  </si>
  <si>
    <t>3,7+1,85   </t>
  </si>
  <si>
    <t>Podhledy SDK, kovová.kce CD. 1x deska RB 12,5 mm</t>
  </si>
  <si>
    <t>9,35+2,8+18,05+26,3   </t>
  </si>
  <si>
    <t>Úprava povrchů vnitřní</t>
  </si>
  <si>
    <t>Zakrývání výplní vnitřních otvorů</t>
  </si>
  <si>
    <t>(2,4*1,64*2)+(0,85*2,1*2*2)+(0,9*2,1)+(0,65*2,1*2*2)   </t>
  </si>
  <si>
    <t>(1,05+2)*2,8*2   </t>
  </si>
  <si>
    <t>Omítka vnitřní zdiva, vápenná, hrubá zatřená</t>
  </si>
  <si>
    <t>(1,1*1,25)*3   víceprohozy</t>
  </si>
  <si>
    <t>(2,9*0,75)*3   </t>
  </si>
  <si>
    <t>(0,8*0,2)*3   </t>
  </si>
  <si>
    <t>Omítka vnitřní zdiva, vápenná, na pletivu, štuková</t>
  </si>
  <si>
    <t>(0,65+0,3+0,5+1,23+0,1+1+1,99+0,3+2,02+0,26)*2,85*2   </t>
  </si>
  <si>
    <t>-((1,18+1,23+1,99+1,1+2,02+2,02+0,52)*2,1)   </t>
  </si>
  <si>
    <t>Omítka vnitřní zdiva, vápenná, na pletivu, štuková - pouze štuk + perlinka+penetrace</t>
  </si>
  <si>
    <t>(6,77+6,77+3,78+3,78+3,4+0,45+0,48+0,45+1,58+3,02+0,57+0,42+1,24+0,42+1,18+0,355+0,51+0,74)*2,75   </t>
  </si>
  <si>
    <t>-((0,85*2,1*2)+(0,9*2,1))   </t>
  </si>
  <si>
    <t>Začištění drážky, konečná úprava+pás perlinky</t>
  </si>
  <si>
    <t>po elektro</t>
  </si>
  <si>
    <t>10+120+10+10+60+75+20+15+100   </t>
  </si>
  <si>
    <t>Podlahy a podlahové konstrukce</t>
  </si>
  <si>
    <t>Samonivel.anhydr.stěrka ,ruč.zprac.tl.2 mm</t>
  </si>
  <si>
    <t>(1,1+0,67+5,1)*1,99   m.č. 3 dorovnání povrchu podlahy po bourání</t>
  </si>
  <si>
    <t>9,35+2,8   m.č. 1,2 - tlouštka. bude upřesněna</t>
  </si>
  <si>
    <t>Plech trapézový Trapéz  tl. 0,7 mm v četně osazení</t>
  </si>
  <si>
    <t>1,57*1,19   </t>
  </si>
  <si>
    <t>;ztratné 5%; 0,093415   </t>
  </si>
  <si>
    <t>Mazanina betonová tl. 5 - 8 cm C 16/20</t>
  </si>
  <si>
    <t>1,57*1,19*0,07   </t>
  </si>
  <si>
    <t>Výztuž mazanin svařovanou sítí</t>
  </si>
  <si>
    <t>průměr drátu  6,0, oka 100/100 mm KH30</t>
  </si>
  <si>
    <t>1,57*1,19*0,0046   </t>
  </si>
  <si>
    <t>Výplně otvorů</t>
  </si>
  <si>
    <t>Osazení zárubní dveřních ocelových, pl. do 2,5 m2</t>
  </si>
  <si>
    <t>včetně dodávky zárubně  65/2,1/0,1 cm</t>
  </si>
  <si>
    <t>Vnitřní kanalizace</t>
  </si>
  <si>
    <t>Demontáže pro vnitřní kanalizici mimo zařizovacích předmětů a zaslepení. v četně likvidace</t>
  </si>
  <si>
    <t>1   </t>
  </si>
  <si>
    <t>Vnitřní vodovod</t>
  </si>
  <si>
    <t>Demontáže pro vnitřní vodovod mimo zařizovacích předmětů a zaslepení. v četně likvidace</t>
  </si>
  <si>
    <t>Vnitřní plynovod</t>
  </si>
  <si>
    <t>Demontáže pro vnitřní plynovod mimo samostatně uvedeného a zaslepení. v četně likvidace</t>
  </si>
  <si>
    <t>Zařizovací předměty</t>
  </si>
  <si>
    <t>Montáž klozetových mís kombinovaných</t>
  </si>
  <si>
    <t>Klozet kombi Vario, úsporné splachovadlo, celokapotové</t>
  </si>
  <si>
    <t>Odmontování a zpětná montáž sedátka</t>
  </si>
  <si>
    <t>A604 WC sedátko univerzální</t>
  </si>
  <si>
    <t>Montáž umyvadel na šrouby do zdiva</t>
  </si>
  <si>
    <t>Umývátko  s otvorem pro bater. 45x34 cm</t>
  </si>
  <si>
    <t>Umyvadlo 60x45 cm otvor pro baterii bílé</t>
  </si>
  <si>
    <t>Montáž sprchových koutů ostatních typů</t>
  </si>
  <si>
    <t>žlábek+baterie</t>
  </si>
  <si>
    <t xml:space="preserve"> Podlahový žlab l = 1150 mm nerezový s mřížkou</t>
  </si>
  <si>
    <t>Sifon sprchový PP HL514SN, D 40/50 mm</t>
  </si>
  <si>
    <t>samočisticí, stavitelný odpad 6/4 ", krytka nerez</t>
  </si>
  <si>
    <t>Baterie dřezová stoján. ruční, pro studenou vodu</t>
  </si>
  <si>
    <t>Baterie termostat.vanová nástěn.,vč. příslušenství</t>
  </si>
  <si>
    <t>základní</t>
  </si>
  <si>
    <t>Baterie umyvadl.stojánk.samouzavírací,bez regulace</t>
  </si>
  <si>
    <t>standardní</t>
  </si>
  <si>
    <t>Baterie termost.sprchová nástěn.,bez příslušenství</t>
  </si>
  <si>
    <t>Dřevostavby</t>
  </si>
  <si>
    <t>18,05   </t>
  </si>
  <si>
    <t>Konstrukce truhlářské</t>
  </si>
  <si>
    <t>Dodávka a montáž výrobku označení M1</t>
  </si>
  <si>
    <t>Postel 900/2000, s roštěm a matrací PUR, výška 160mm, tvrdost H3/H4</t>
  </si>
  <si>
    <t>5   </t>
  </si>
  <si>
    <t>Dodávka a montáž výrobku označení M2</t>
  </si>
  <si>
    <t>Dvousedačka rozkládací, cca 1800/800</t>
  </si>
  <si>
    <t>Dodávka a montáž výrobku označení M3</t>
  </si>
  <si>
    <t>Dodávka a montáž výrobku označení M4</t>
  </si>
  <si>
    <t>Křeslo s látkovým potahem, tmavě sivá, černé kovové nohy</t>
  </si>
  <si>
    <t>4   </t>
  </si>
  <si>
    <t>Dodávka a montáž výrobku označení M5</t>
  </si>
  <si>
    <t>Odkládací /noční/ stolek 500/400</t>
  </si>
  <si>
    <t>Dodávka a montáž výrobku označení M6</t>
  </si>
  <si>
    <t>Šatní skřín s policemi 610/380, h 1960</t>
  </si>
  <si>
    <t>3   </t>
  </si>
  <si>
    <t>Dodávka a montáž výrobku označení M7</t>
  </si>
  <si>
    <t>Policová skřín 850/380, h 1200</t>
  </si>
  <si>
    <t>Dodávka a montáž výrobku označení M8</t>
  </si>
  <si>
    <t>Šatní stojan nerezový 1500</t>
  </si>
  <si>
    <t>Dodávka a montáž výrobku označení M9</t>
  </si>
  <si>
    <t>Komoda 850/380, h 1200</t>
  </si>
  <si>
    <t>Dodávka a montáž výrobku označení M10</t>
  </si>
  <si>
    <t>Atyp. Vestavěná skřín 500/200, h 2450</t>
  </si>
  <si>
    <t>Dodávka a montáž výrobku označení M11</t>
  </si>
  <si>
    <t>Atyp. Vestavěná skřín 1050/600, h 2450</t>
  </si>
  <si>
    <t>Dodávka a montáž výrobku označení M12</t>
  </si>
  <si>
    <t>Vestavěná lednice s mrazničkou, 820x590x550, A++, chlad.105l, mraznička 18l,vnitnří osv., automat. Odmraz.</t>
  </si>
  <si>
    <t>Dodávka a montáž výrobku označení M13</t>
  </si>
  <si>
    <t>Kuchynská linka s deskou,š. 1500mm, skřínka s dřezem 600mm, skřínka s výsuvnými šuplíky 300, deska vestavěné lednice, MDF deska, lamino lesk, sv. šedé, deska pracovní.</t>
  </si>
  <si>
    <t>Dodávka a montáž výrobku označení M13/A</t>
  </si>
  <si>
    <t>Horní škřínky prosklenné,300/š. 900 / 400mm, výklop horní, s aretací, sklo mléčné, rám nerez broušený, MDF deska.</t>
  </si>
  <si>
    <t>Dodávka a montáž výrobku označení M13/B</t>
  </si>
  <si>
    <t>Horní škřínky prosklenné,300/š. 600 / 400mm, výklop horní, s aretací, sklo mléčné, rám nerez broušený, MDF deska.</t>
  </si>
  <si>
    <t>Dodávka a montáž výrobku označení M14</t>
  </si>
  <si>
    <t>40-43 palcový SMART LCD televizor s Full HD rozlišením 1 920 x 1 080 p. Podpora HDR,  Wi-Fi, Ethernet port, 2xHDMI, 2xUSB porty,  HbbTV, USB nahrávání a Miracast, 2 x 5W reprodukty, zabudovaný tuner DVB-T/T2, DVB-S/S2 a DVB-C nebo CI+ modulu.</t>
  </si>
  <si>
    <t>Dodávka a montáž výrobku označení M15</t>
  </si>
  <si>
    <t>Zrcadlo na stěnu, v rámu, 400/1500, rám kov nerez</t>
  </si>
  <si>
    <t>Dodávka a montáž výrobku označení M15/A</t>
  </si>
  <si>
    <t>Zrcadlo na stěnu,zapuštěné do obkladu, 400/1100,včetně samostatné poličky prosklené</t>
  </si>
  <si>
    <t>Dodávka a montáž výrobku označení M15/B</t>
  </si>
  <si>
    <t>Dodávka a montáž výrobku označení M16</t>
  </si>
  <si>
    <t>Nerezový zásobník papírových ručníků, matný, 340/250/125mm</t>
  </si>
  <si>
    <t>Dodávka a montáž výrobku označení M17</t>
  </si>
  <si>
    <t>Nerezový nášlapný koš 12l, matný, s úchytem na sáčky</t>
  </si>
  <si>
    <t>Montáž a dodávka závěsné skřínky k umyvadlu 600/400 mm</t>
  </si>
  <si>
    <t>Zavěšení dveří po repasy</t>
  </si>
  <si>
    <t>Montáž dveří do zárubně,otevíravých 1kř.do 0,8 m</t>
  </si>
  <si>
    <t>Dveře 65/2,1, požadavek upřesní investor, cenová úroven pro nacenění 2500 Kč/kus</t>
  </si>
  <si>
    <t>Konstrukce doplňkové stavební (zámečnické)</t>
  </si>
  <si>
    <t>Dokončení okování dveří,oc.kostr.,otvíravých 1kříd</t>
  </si>
  <si>
    <t>Repase kování</t>
  </si>
  <si>
    <t>Demontáž stávajícího dveřního kování</t>
  </si>
  <si>
    <t>Podlahy z dlaždic</t>
  </si>
  <si>
    <t>Vysávání podlah prům.vysavačem pro pokládku dlažby</t>
  </si>
  <si>
    <t>Vyrovnání podkladů samonivel. hmotou tl. do 10 mm</t>
  </si>
  <si>
    <t>3,7+1,85   podlaha</t>
  </si>
  <si>
    <t>1,5   parapet</t>
  </si>
  <si>
    <t>Penetrace podkladu pod dlažby</t>
  </si>
  <si>
    <t>1,5   </t>
  </si>
  <si>
    <t>Provedení hydroizol. stěrky pod dlažby dvouvrstvé</t>
  </si>
  <si>
    <t>Bandáž koutů - provedení + dodávka</t>
  </si>
  <si>
    <t>1,18+0,355+0,355+0,59+0,51+0,8+1,18+0,59+0,51   </t>
  </si>
  <si>
    <t>2,02+2,02+0,26+0,26+1,99+1+1,165   </t>
  </si>
  <si>
    <t>Montáž podlahových lišt přechodových</t>
  </si>
  <si>
    <t>0,65*2   </t>
  </si>
  <si>
    <t>Přechodová lišta, požadavek upřesní investor, cenová úroven pro nacenění 300 Kč/m</t>
  </si>
  <si>
    <t>;ztratné 10%; 0,13   </t>
  </si>
  <si>
    <t>Obklad soklíků rovných do tmele výšky do 100 mm</t>
  </si>
  <si>
    <t>2,28+2,28+2,99+2,99-0,65   </t>
  </si>
  <si>
    <t>Sokl s podžlábkem, požadavek upřesní investor, cenová úroven pro nacenění 300 Kč/m</t>
  </si>
  <si>
    <t>9,89   </t>
  </si>
  <si>
    <t>;ztratné 5%; 0,4945   </t>
  </si>
  <si>
    <t>Montáž podlah keram.,hladké, tmel, 60x60 cm</t>
  </si>
  <si>
    <t>Keram. dlažba slinutá 600/600/10,slonová kost protskuz R9/A, otěr PEI5 cenová úroven pro nacenění 700 Kč/m, fakturace dle skutečnosti</t>
  </si>
  <si>
    <t>1,85+3,7   </t>
  </si>
  <si>
    <t>;ztratné 10%; 0,555   </t>
  </si>
  <si>
    <t>Podlahy vlysové a parketové</t>
  </si>
  <si>
    <t>Oprava podlah, broušení vlysů, parket trojnásobné</t>
  </si>
  <si>
    <t>26,3   </t>
  </si>
  <si>
    <t>Celoplošné tmelení</t>
  </si>
  <si>
    <t>Lak dřevěných podlah , Z+2x,přebroušení</t>
  </si>
  <si>
    <t>Vysávání podlah prům.vysavačem pro pokládku</t>
  </si>
  <si>
    <t>9,35+2,8+18,05   </t>
  </si>
  <si>
    <t>Kladení podlah vinilových na podklad Click</t>
  </si>
  <si>
    <t>Vinilová podlahovina 23/33/42 tl. 4,5 dekor dřevo cenová úroven pro nacenění 700 Kč/m, fakturace dle skutečnosti</t>
  </si>
  <si>
    <t>;ztratné 5%; 1,51   </t>
  </si>
  <si>
    <t>Položení podložky pod lamelové podlahy</t>
  </si>
  <si>
    <t>Deska CLICK</t>
  </si>
  <si>
    <t>;ztratné 10%; 3,02   </t>
  </si>
  <si>
    <t>Obvodové lišty lamelové podlahy</t>
  </si>
  <si>
    <t>Obklady (keramické)</t>
  </si>
  <si>
    <t>Vyrovnání podkladu maltou ze SMS tl. do 7 mm</t>
  </si>
  <si>
    <t>(1,18+0,355+0,355+0,59+0,51+1,18+0,59+0,51+0,1)*2,1   </t>
  </si>
  <si>
    <t>(0,74+2,99)*0,75   </t>
  </si>
  <si>
    <t>(2,02+2,02+0,2+0,26+2,99-0,65)*2,1   </t>
  </si>
  <si>
    <t>Penetrace podkladu pod obklady</t>
  </si>
  <si>
    <t>28,4385   plocha</t>
  </si>
  <si>
    <t>Hydroizolační stěrka dvouvrstvá pod obklady</t>
  </si>
  <si>
    <t>(1,18+0,355+0,355+0,59+0,51+1,18+0,59+0,51+0,1)*0,5   </t>
  </si>
  <si>
    <t>(0,74+2,99)*0,5   </t>
  </si>
  <si>
    <t>(2,02+2,02+0,2+0,26+2,99-0,65)*0,5   </t>
  </si>
  <si>
    <t>Montáž lišt rohových, vanových a dilatačních</t>
  </si>
  <si>
    <t>2,89   k parapetu</t>
  </si>
  <si>
    <t>2,1*2   roh</t>
  </si>
  <si>
    <t>Lišta, požadavek upřesní investor, cenová úroven pro nacenění 300 Kč/m</t>
  </si>
  <si>
    <t>7,09   </t>
  </si>
  <si>
    <t>;ztratné 10%; 0,709   </t>
  </si>
  <si>
    <t>Obkládání parapetů do tmele šířky do 300 mm</t>
  </si>
  <si>
    <t>2,89*2   </t>
  </si>
  <si>
    <t>Obkládání stěn vnitř.keram. do tmele do 100x100 mm</t>
  </si>
  <si>
    <t>28,45   </t>
  </si>
  <si>
    <t>Keram. obklad slinutý 100/100/6, bílá, lesk otěr PEI2 cenová úroven pro nacenění 500 Kč/m, fakturace dle skutečnosti</t>
  </si>
  <si>
    <t>28,45+1,5   </t>
  </si>
  <si>
    <t>;ztratné 5%; 1,4975   </t>
  </si>
  <si>
    <t>Malby</t>
  </si>
  <si>
    <t>Odstranění malby oškrábáním v místnosti H do 3,8 m</t>
  </si>
  <si>
    <t>není proveden odpočet plochy oken - toto eliminuje naklady na osekání špalet a ostění</t>
  </si>
  <si>
    <t>(6,77+6,77+3,78+3,78+3,4+0,45+0,48+0,45+1,58+3,02+0,57+0,42+1,24+0,42+1,18+0,355+1,25+1,1)*2,75   </t>
  </si>
  <si>
    <t>Penetrace podkladu hloubková Primalex 1x</t>
  </si>
  <si>
    <t>93,31   </t>
  </si>
  <si>
    <t>Penetrace podkladu univerzální Primalex 1x</t>
  </si>
  <si>
    <t>30,237   </t>
  </si>
  <si>
    <t>Malba Primalex Standard, bílá, bez penetrace, 2 x</t>
  </si>
  <si>
    <t>93,31+30,237+5,55+56,5   </t>
  </si>
  <si>
    <t>Malba Primalex příplatek za odstín</t>
  </si>
  <si>
    <t>Hodinové zúčtovací sazby (HZS)</t>
  </si>
  <si>
    <t>Hzs-průzk.práce na památkách</t>
  </si>
  <si>
    <t>předběžná prohlídka, kontrolní dny s památkovou péčí</t>
  </si>
  <si>
    <t>10   </t>
  </si>
  <si>
    <t>Hzs-revize provoz.souboru a st.obj.</t>
  </si>
  <si>
    <t>Revize
Elektroinstalace</t>
  </si>
  <si>
    <t>Hzs-zkousky v ramci montaz.praci</t>
  </si>
  <si>
    <t>Topná zkouška</t>
  </si>
  <si>
    <t>Uprava stavajiciho rozvadece</t>
  </si>
  <si>
    <t>Revize
plynu</t>
  </si>
  <si>
    <t>Hzs-nezmeritelne stavebni prace</t>
  </si>
  <si>
    <t>práce vzniklé z požadavků památkové péče</t>
  </si>
  <si>
    <t>HZS</t>
  </si>
  <si>
    <t>stavební dělník v tarifní třídě 5
přípomocné stavební práce k rozvodům instalací</t>
  </si>
  <si>
    <t>20   </t>
  </si>
  <si>
    <t>stavební dělník v tarifní třídě 7
odkrytí stáv rozvodů vody a kanalizace pro propojení nového</t>
  </si>
  <si>
    <t>12   </t>
  </si>
  <si>
    <t>Lešení a stavební výtahy</t>
  </si>
  <si>
    <t>Lešení lehké pomocné, výška podlahy do 2,5 m</t>
  </si>
  <si>
    <t>30   </t>
  </si>
  <si>
    <t>Různé dokončovací konstrukce a práce na pozemních stavbách</t>
  </si>
  <si>
    <t>Vyčištění budov o výšce podlaží do 4 m</t>
  </si>
  <si>
    <t>9,35+2,8+3,7+1,85+18,05+26,3   </t>
  </si>
  <si>
    <t>Čištění zametáním v místnostech a chodbách</t>
  </si>
  <si>
    <t>průběžný úklid spoličných prostor domu</t>
  </si>
  <si>
    <t>50*5   </t>
  </si>
  <si>
    <t>Sprchová zástěna v četně montáže</t>
  </si>
  <si>
    <t>Přebroušení, vyspravení, nový nátěr - stávající dveře</t>
  </si>
  <si>
    <t>Přebroušení, vyspravení, nový nátěr - stávající prosklená stěna</t>
  </si>
  <si>
    <t>Bourání konstrukcí</t>
  </si>
  <si>
    <t>Demontáž dřevěných stěn plných</t>
  </si>
  <si>
    <t>2,4*1,4   </t>
  </si>
  <si>
    <t>Bourání zdiva z cihel pálených na MC</t>
  </si>
  <si>
    <t>(2,09+1,19+1,57)*2,85*0,15   </t>
  </si>
  <si>
    <t>-((0,7*2,1)+(0,64*2,1))*0,15   </t>
  </si>
  <si>
    <t>(1,55+1+2,2)*0,1*2,85   </t>
  </si>
  <si>
    <t>-(0,64*2,1)*0,1   </t>
  </si>
  <si>
    <t>1,1*1,25+0,15   </t>
  </si>
  <si>
    <t>Otlučení omítek vnitřních stěn v rozsahu do 30 %</t>
  </si>
  <si>
    <t>Demontáž podlah vlysových přibíjených včetně lišt - fošny</t>
  </si>
  <si>
    <t>Bourání dlažeb keramických tl.10 mm, pl. do 1 m2</t>
  </si>
  <si>
    <t>ručně, dlaždice keramické</t>
  </si>
  <si>
    <t>(1,1+0,67+5,1)*1,99   m.č. 3 rozdílný povrch</t>
  </si>
  <si>
    <t>Bourání lehčených mazanin, tl.10 cm, pl. 1 m2</t>
  </si>
  <si>
    <t>ručně, tl. mazaniny 5 - 8 cm</t>
  </si>
  <si>
    <t>(1,1+0,67+5,1)*1,99*0,07   m.č. 3-dobourání podlahy do požadované hl.</t>
  </si>
  <si>
    <t>Odsekání obkladů vnitřních</t>
  </si>
  <si>
    <t>2,9*0,75   </t>
  </si>
  <si>
    <t>0,8*2   </t>
  </si>
  <si>
    <t>(0,15+1,1)*1,25   </t>
  </si>
  <si>
    <t>Vybourání kovových dveřních zárubní pl. do 2 m2</t>
  </si>
  <si>
    <t>(0,85*2,1)+(0,64*2,1*2)   </t>
  </si>
  <si>
    <t>Vyvěšení dřevěných dveřních křídel pl. do 2 m2</t>
  </si>
  <si>
    <t>6   </t>
  </si>
  <si>
    <t>Demontáž klozetů splachovacích</t>
  </si>
  <si>
    <t>Demontáž van litinových volných</t>
  </si>
  <si>
    <t>Demontáž umyvadel bez výtokových armatur</t>
  </si>
  <si>
    <t>Demontáž baterie stojánkové do 2-3 otvorů</t>
  </si>
  <si>
    <t>Demontáž kuchyňských linek do 2,1 m</t>
  </si>
  <si>
    <t>Demontáž plynového sporáku</t>
  </si>
  <si>
    <t>Demontáž ostatního mobiliáře</t>
  </si>
  <si>
    <t>Frézování drážky do 30x30 mm, zdivo, pórobeton</t>
  </si>
  <si>
    <t>1,57+1,19   pro trap. plech</t>
  </si>
  <si>
    <t>Přesuny sutí</t>
  </si>
  <si>
    <t>Svislá doprava suti a vybour. hmot za 2.NP a 1.PP</t>
  </si>
  <si>
    <t>12,946   </t>
  </si>
  <si>
    <t>Odvoz suti a vybour. hmot na skládku do 1 km</t>
  </si>
  <si>
    <t>kontejnerem 4 t</t>
  </si>
  <si>
    <t>Příplatek k odvozu za každý další 1 km</t>
  </si>
  <si>
    <t>12,946*10   předpoklad vzdálenosti skládky</t>
  </si>
  <si>
    <t>Nakládání vybouraných hmot na dopravní prostředek</t>
  </si>
  <si>
    <t>Nakládání nebo překládání suti a vybouraných hmot</t>
  </si>
  <si>
    <t>12,946   složení</t>
  </si>
  <si>
    <t>Vodorovné přemístění suti nošením do 10 m</t>
  </si>
  <si>
    <t>Příplatek za nošení vyb. hmot každých dalších 10 m</t>
  </si>
  <si>
    <t>12,946*8   na dvůr</t>
  </si>
  <si>
    <t>Poplatek za skládku suti-cihel.výrobky nad 30x30cm</t>
  </si>
  <si>
    <t>8,577+0,933   </t>
  </si>
  <si>
    <t>Poplatek za skládku suti - beton nad 30x30 cm</t>
  </si>
  <si>
    <t>1,53+0,067+0,22   </t>
  </si>
  <si>
    <t>Poplatek za skládku suti - stavební keramika</t>
  </si>
  <si>
    <t>0,274+0,363+0,02+0,095+0,005   </t>
  </si>
  <si>
    <t>Poplatek za skládku suti - dřevo</t>
  </si>
  <si>
    <t>0,057+0,0374+0,348   </t>
  </si>
  <si>
    <t>Výkup kovů - železný šrot tl. nad 4 mm</t>
  </si>
  <si>
    <t>0,345   </t>
  </si>
  <si>
    <t>Pronájem kontejneru 4 t</t>
  </si>
  <si>
    <t>12,946*5   </t>
  </si>
  <si>
    <t>Ostatní přesuny hmot</t>
  </si>
  <si>
    <t>Přesun hmot pro opravy a údržbu do výšky 6 m</t>
  </si>
  <si>
    <t>2,056+0,739+7,853+0,099+0,065+0,002+0,086+0,011+0,07+0,256   </t>
  </si>
  <si>
    <t>0,123+0,003+0,06+0,135+0,046   </t>
  </si>
  <si>
    <t>0,035+0,18+0,02+0,054+0,33   </t>
  </si>
  <si>
    <t>Přípravné a dokončovací práce technických rozvodů</t>
  </si>
  <si>
    <t>Odpojení elektroinstalace</t>
  </si>
  <si>
    <t>Odpojení vodovodu</t>
  </si>
  <si>
    <t>dočasné zaslepení</t>
  </si>
  <si>
    <t>Odpojení kanalizace</t>
  </si>
  <si>
    <t>Odpojení plynu</t>
  </si>
  <si>
    <t>Montáže potrubí, kanalizace, voda, topení</t>
  </si>
  <si>
    <t>Montáž trub z plastických hmot PE, PP, 50 x 4,5</t>
  </si>
  <si>
    <t>Montáž trub z plastických hmot PE, PP, 40 x 4,3</t>
  </si>
  <si>
    <t>Montáž trub z plastických hmot PE, PP, 70 x 4,3</t>
  </si>
  <si>
    <t>Montáž trub z plastických hmot PE, PP, 110 x 6,2</t>
  </si>
  <si>
    <t>Trubka HT s hrdlem D 40 mm délka 250 mm PP</t>
  </si>
  <si>
    <t>3*4   </t>
  </si>
  <si>
    <t>Trubka HT s hrdlem D 50 mm délka 1000 mm PP</t>
  </si>
  <si>
    <t>Trubka HT s hrdlem D 70 mm délka 1000 mm PP</t>
  </si>
  <si>
    <t>Trubka HT s hrdlem D 110 mm délka 1000 mm PP</t>
  </si>
  <si>
    <t>Montáž redukcí</t>
  </si>
  <si>
    <t>2+1+1   </t>
  </si>
  <si>
    <t>Odbočka HTEA D 75/ 50 mm 87,5° PP</t>
  </si>
  <si>
    <t>Odbočka HTEA D 110/ 70 mm 45° PP</t>
  </si>
  <si>
    <t>Odbočka HTEA D 110/ 50 mm 67,5° PP</t>
  </si>
  <si>
    <t>Zhotovení přechodu litina - plastové potrubí</t>
  </si>
  <si>
    <t>GA-SET s těsněním</t>
  </si>
  <si>
    <t>Zkouška těsnosti potrubí, DN 100 - 125</t>
  </si>
  <si>
    <t>3+6+5+6   </t>
  </si>
  <si>
    <t>Montáž trub z plastických hmot PER3</t>
  </si>
  <si>
    <t>35   </t>
  </si>
  <si>
    <t>Navlečení izolace potrubí DN 20</t>
  </si>
  <si>
    <t>35+5+50   </t>
  </si>
  <si>
    <t>Trubka D 20 x 3,4 mm délka 4 m PN 20 PPR</t>
  </si>
  <si>
    <t>;ztratné 5%; 1,75   </t>
  </si>
  <si>
    <t>Izolace potrubí  PRO 15x20 mm šedočerná</t>
  </si>
  <si>
    <t>;ztratné 5%; 4,5   </t>
  </si>
  <si>
    <t>Vodoměr bytový</t>
  </si>
  <si>
    <t>Vodoměr bytový na stud.vodu, DN 20</t>
  </si>
  <si>
    <t>Montáž roháčku v četně dodávky 1/2"</t>
  </si>
  <si>
    <t>Montáž kohoutů</t>
  </si>
  <si>
    <t>4+2   </t>
  </si>
  <si>
    <t>Kohout kulový  DN 3/4</t>
  </si>
  <si>
    <t>Kohout kulový DN 3/4"</t>
  </si>
  <si>
    <t>Příprava pro zkoušku těsnosti, DN do 40</t>
  </si>
  <si>
    <t>Zkouška těsnosti potrubí, DN do 40</t>
  </si>
  <si>
    <t>Napuštění systému, odvzdušnění</t>
  </si>
  <si>
    <t>35+5   </t>
  </si>
  <si>
    <t>Montáž trubek z nerez.oceli v četně dodávky</t>
  </si>
  <si>
    <t>Příplatek za závěsy</t>
  </si>
  <si>
    <t>Předběžná tlaková zkouška vodou, DN 50</t>
  </si>
  <si>
    <t>Hlavní tlaková zkouška vzduchem 0,6 MPa, DN 50</t>
  </si>
  <si>
    <t>Revize topného tělesa</t>
  </si>
  <si>
    <t>Vytápění plocha 3-4 m2</t>
  </si>
  <si>
    <t>1,75+2,25   </t>
  </si>
  <si>
    <t>Rohož topná  3 m2, 350 W</t>
  </si>
  <si>
    <t>3/3*1,75   </t>
  </si>
  <si>
    <t>Rohož topná   4 m2, 450 W</t>
  </si>
  <si>
    <t>4/4*2,25   </t>
  </si>
  <si>
    <t>Oprava-rozpojení otopného tělesa teplovodního</t>
  </si>
  <si>
    <t>Zaslepení potrubí zkováním a zavařením DN 20</t>
  </si>
  <si>
    <t>Výměna topného tělesa-nová montáž</t>
  </si>
  <si>
    <t>Těleso otopné trubkové 450/1250/500W</t>
  </si>
  <si>
    <t>VON</t>
  </si>
  <si>
    <t>Zařízení staveniště</t>
  </si>
  <si>
    <t>mobilní hygienická zařízení</t>
  </si>
  <si>
    <t>Příprava a předání podkladů ke kolaudaci</t>
  </si>
  <si>
    <t xml:space="preserve">doklady o vlastnostech materiálů, o provedených zkouškách a měření, o výchozích kontrolách provozuschopnosti   
o zaškolení obsluhy, revizní zprávy - bez závad, doklady o oprávnění k provádění prací, doklady o likvidaci odpadů   
návody k obsluze, kopie záručních listů   
3 x tištěné + 1 x na CD nosiči   </t>
  </si>
  <si>
    <t>Prostředky na zmírnění prašnosti a hlučnosti během výstavby</t>
  </si>
  <si>
    <t>práce v omezeném čase, kropení atd</t>
  </si>
  <si>
    <t>Rezerva rozpočtu na práce a meteriály vzniké z požadavků státní památkové péče. Cenová úroven rezervy 30.000,- Kč</t>
  </si>
  <si>
    <t>položka čerpána pouze se souhlasem investora</t>
  </si>
  <si>
    <t>Doba výstavby:</t>
  </si>
  <si>
    <t>Začátek výstavby:</t>
  </si>
  <si>
    <t>Konec výstavby:</t>
  </si>
  <si>
    <t>Zpracováno dne:</t>
  </si>
  <si>
    <t>22.09.2019</t>
  </si>
  <si>
    <t>MJ</t>
  </si>
  <si>
    <t>m2</t>
  </si>
  <si>
    <t>kus</t>
  </si>
  <si>
    <t>m</t>
  </si>
  <si>
    <t>m3</t>
  </si>
  <si>
    <t>t</t>
  </si>
  <si>
    <t>kpl</t>
  </si>
  <si>
    <t>soubor</t>
  </si>
  <si>
    <t>h</t>
  </si>
  <si>
    <t>den</t>
  </si>
  <si>
    <t>sada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</si>
  <si>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</si>
  <si>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</si>
  <si>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</si>
  <si>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</si>
  <si>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</si>
  <si>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</si>
  <si>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</si>
  <si>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Národní zemědělské muzeum s.p.o Praha</t>
  </si>
  <si>
    <t>Ing arch. M. Vajtr, Praha</t>
  </si>
  <si>
    <t> </t>
  </si>
  <si>
    <t>Pejchalová</t>
  </si>
  <si>
    <t>Náklady (Kč)</t>
  </si>
  <si>
    <t>Dodávka</t>
  </si>
  <si>
    <t>Celkem:</t>
  </si>
  <si>
    <t>Montáž</t>
  </si>
  <si>
    <t>Celkem</t>
  </si>
  <si>
    <t>Cenová</t>
  </si>
  <si>
    <t>soustava</t>
  </si>
  <si>
    <t>RTS I / 2019</t>
  </si>
  <si>
    <t>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</si>
  <si>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</si>
  <si>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</si>
  <si>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</si>
  <si>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</si>
  <si>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</si>
  <si>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</si>
  <si>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</si>
  <si>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</si>
  <si>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</si>
  <si>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</si>
  <si>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41_</t>
  </si>
  <si>
    <t>61_</t>
  </si>
  <si>
    <t>63_</t>
  </si>
  <si>
    <t>64_</t>
  </si>
  <si>
    <t>721_</t>
  </si>
  <si>
    <t>722_</t>
  </si>
  <si>
    <t>723_</t>
  </si>
  <si>
    <t>725_</t>
  </si>
  <si>
    <t>763_</t>
  </si>
  <si>
    <t>766_</t>
  </si>
  <si>
    <t>767_</t>
  </si>
  <si>
    <t>771_</t>
  </si>
  <si>
    <t>775_</t>
  </si>
  <si>
    <t>781_</t>
  </si>
  <si>
    <t>784_</t>
  </si>
  <si>
    <t>90_</t>
  </si>
  <si>
    <t>94_</t>
  </si>
  <si>
    <t>95_</t>
  </si>
  <si>
    <t>96_</t>
  </si>
  <si>
    <t>S_</t>
  </si>
  <si>
    <t>H99_</t>
  </si>
  <si>
    <t>M22_</t>
  </si>
  <si>
    <t>M23_</t>
  </si>
  <si>
    <t>100_</t>
  </si>
  <si>
    <t>3_</t>
  </si>
  <si>
    <t>4_</t>
  </si>
  <si>
    <t>6_</t>
  </si>
  <si>
    <t>72_</t>
  </si>
  <si>
    <t>76_</t>
  </si>
  <si>
    <t>77_</t>
  </si>
  <si>
    <t>78_</t>
  </si>
  <si>
    <t>9_</t>
  </si>
  <si>
    <t>1_</t>
  </si>
  <si>
    <t>_</t>
  </si>
  <si>
    <t>MAT</t>
  </si>
  <si>
    <t>WORK</t>
  </si>
  <si>
    <t>CELK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</si>
  <si>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</si>
  <si>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</si>
  <si>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</si>
  <si>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</si>
  <si>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</si>
  <si>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</si>
  <si>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</si>
  <si>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</si>
  <si>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</si>
  <si>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</si>
  <si>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</si>
  <si>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</si>
  <si>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</si>
  <si>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</si>
  <si>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</si>
  <si>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</si>
  <si>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</si>
  <si>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</si>
  <si>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</si>
  <si>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</si>
  <si>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</si>
  <si>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</si>
  <si>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</si>
  <si>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</si>
  <si>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</si>
  <si>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</si>
  <si>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</si>
  <si>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</si>
  <si>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</si>
  <si>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</si>
  <si>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</si>
  <si>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</si>
  <si>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</si>
  <si>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</si>
  <si>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</si>
  <si>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</si>
  <si>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</si>
  <si>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</si>
  <si>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</si>
  <si>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</si>
  <si>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</si>
  <si>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</si>
  <si>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</si>
  <si>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</si>
  <si>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</si>
  <si>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</si>
  <si>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</si>
  <si>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</si>
  <si>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</si>
  <si>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</si>
  <si>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75075741/</t>
  </si>
  <si>
    <t>43941559/</t>
  </si>
  <si>
    <t>D.1.4-d 8 VÝPIS MATERIÁLU</t>
  </si>
  <si>
    <t>Místo:</t>
  </si>
  <si>
    <t>parc.č. 2120/1 k.ú. Holešovice</t>
  </si>
  <si>
    <t>Název akce:</t>
  </si>
  <si>
    <t>ÚPRAVY BYTU 1+1 / 1.PP</t>
  </si>
  <si>
    <t>Stupeň:</t>
  </si>
  <si>
    <t>DVZ</t>
  </si>
  <si>
    <t>09/2019</t>
  </si>
  <si>
    <t>Stavebník:</t>
  </si>
  <si>
    <t>Zodpovědný projektant</t>
  </si>
  <si>
    <t>Národní zemědělské muzeum, s.p.o.</t>
  </si>
  <si>
    <t>Ing.arch. Miloslav Vajtr</t>
  </si>
  <si>
    <t>Kostelní 44</t>
  </si>
  <si>
    <t>V Brůdku 77</t>
  </si>
  <si>
    <t>170 00 Praha 7</t>
  </si>
  <si>
    <t>155 00 Praha 5</t>
  </si>
  <si>
    <t>ČKA 02 757</t>
  </si>
  <si>
    <t>IČ 43941559</t>
  </si>
  <si>
    <t>Zpracovatel části:</t>
  </si>
  <si>
    <t>Ing. Jaroslav Januš</t>
  </si>
  <si>
    <t>Křižatky 33</t>
  </si>
  <si>
    <t>267 01 Králův Dvůr</t>
  </si>
  <si>
    <t>IČ 01934155</t>
  </si>
  <si>
    <t>Materiál</t>
  </si>
  <si>
    <t>Počet</t>
  </si>
  <si>
    <t>m.j.</t>
  </si>
  <si>
    <t>bez DPH</t>
  </si>
  <si>
    <t>vč. DPH</t>
  </si>
  <si>
    <t>Byt</t>
  </si>
  <si>
    <t>Rozvaděč RB1</t>
  </si>
  <si>
    <t>Rozvodnice oceloplastová, zapuštěná, 28 modulů</t>
  </si>
  <si>
    <t>ks</t>
  </si>
  <si>
    <t>Svodič přepětí pro TN-C, typ C</t>
  </si>
  <si>
    <t>Hlavní vypínač 32A/3</t>
  </si>
  <si>
    <t>Proudový chránič s nadroudovou ochranou 16A/2/030AC</t>
  </si>
  <si>
    <t>Jistič 16A/B/1</t>
  </si>
  <si>
    <t>Jistič 10A/B/1</t>
  </si>
  <si>
    <t>Zvonkový transformátor</t>
  </si>
  <si>
    <t>svorky a propojovací sběrnice, montážní materiál</t>
  </si>
  <si>
    <t>Práce</t>
  </si>
  <si>
    <t>Hlavní ochranná přípojnice</t>
  </si>
  <si>
    <t>Rozvaděč TV+LAN</t>
  </si>
  <si>
    <t>Rozvodnice</t>
  </si>
  <si>
    <t>Soklová zásuvka</t>
  </si>
  <si>
    <t>Svodič přepětí pro LAN</t>
  </si>
  <si>
    <t>Svodič přepětí pro TV</t>
  </si>
  <si>
    <t>WIFI router</t>
  </si>
  <si>
    <t>TV zesilovač+rozbočovač</t>
  </si>
  <si>
    <t>svorky, propojovací a montážní materiál</t>
  </si>
  <si>
    <t>Spínače</t>
  </si>
  <si>
    <t>Střídavý přepínač ABB Decento</t>
  </si>
  <si>
    <t>Sériový spínač dvojitý ABB Decento</t>
  </si>
  <si>
    <t>Křižový přepínač ABB Decento</t>
  </si>
  <si>
    <t>Zásuvky a vývody</t>
  </si>
  <si>
    <t>Jednoduchá zásuvka 16A, IP20  ABB Decento</t>
  </si>
  <si>
    <t>TV zásuvka ABB Decento</t>
  </si>
  <si>
    <t>Datová zásuvka ABB Decento</t>
  </si>
  <si>
    <t>Regulátor podlahového topení ABB Tango, spínací prvek, čidlo, rámeček</t>
  </si>
  <si>
    <t>Osvětlení</t>
  </si>
  <si>
    <t>Stropní/bodové svítidlo pro zástavbu do SDK podhledu 230Vac</t>
  </si>
  <si>
    <t>Koupelnové svítidlo zářivkové</t>
  </si>
  <si>
    <t>LED pásek</t>
  </si>
  <si>
    <t>Zdroj pro LED</t>
  </si>
  <si>
    <t>Instalační materiál</t>
  </si>
  <si>
    <t>Kabel CYKY-J 4x10</t>
  </si>
  <si>
    <t>Kabel CYKY-J 3x2,5</t>
  </si>
  <si>
    <t>Kabel CYKY-J 5x1,5</t>
  </si>
  <si>
    <t>Kabel CYKY-J 3x1,5</t>
  </si>
  <si>
    <t>Koaxiální TV kabel</t>
  </si>
  <si>
    <t>UTP datový kabel</t>
  </si>
  <si>
    <t>Kabel JYTY 4x1</t>
  </si>
  <si>
    <t>CYA 16</t>
  </si>
  <si>
    <t>CYA 6</t>
  </si>
  <si>
    <t>Přístrojová krabice</t>
  </si>
  <si>
    <t>Vkládací lišta</t>
  </si>
  <si>
    <t>ostatní instalační materiál</t>
  </si>
  <si>
    <t xml:space="preserve">Práce  </t>
  </si>
  <si>
    <t>Stavební přípomoce - zajištění prostupu koax. kab. na střechu</t>
  </si>
  <si>
    <t>Stavební část+vodovod+kanalizace+plyn</t>
  </si>
  <si>
    <t>Elektro</t>
  </si>
  <si>
    <t>celkem</t>
  </si>
  <si>
    <t>rekonstrukce</t>
  </si>
  <si>
    <t>Konferenční stolek 700/700, deska bílá</t>
  </si>
  <si>
    <t>M.podlahy z desek nad tl.12 mm, P+D, šroubov.</t>
  </si>
  <si>
    <t>vč. dodávky desky dřevovláknité tl. 12,5 mm</t>
  </si>
  <si>
    <t>Přebroušení, vyspravení nadpraží oken, nové vertikální látkové lamely na stávající okna (2,4*1,7)*2 = 8,2m2, dodávka+montáž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</si>
</sst>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\ &quot;Kč&quot;"/>
  </numFmts>
  <fonts count="55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63"/>
      <name val="Arial"/>
      <family val="2"/>
    </font>
    <font>
      <sz val="10"/>
      <color indexed="59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CFD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8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6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12" fillId="34" borderId="29" xfId="0" applyNumberFormat="1" applyFont="1" applyFill="1" applyBorder="1" applyAlignment="1" applyProtection="1">
      <alignment horizontal="center" vertical="center"/>
      <protection/>
    </xf>
    <xf numFmtId="49" fontId="13" fillId="0" borderId="30" xfId="0" applyNumberFormat="1" applyFont="1" applyFill="1" applyBorder="1" applyAlignment="1" applyProtection="1">
      <alignment horizontal="left" vertical="center"/>
      <protection/>
    </xf>
    <xf numFmtId="49" fontId="13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4" fillId="0" borderId="29" xfId="0" applyNumberFormat="1" applyFont="1" applyFill="1" applyBorder="1" applyAlignment="1" applyProtection="1">
      <alignment horizontal="right" vertical="center"/>
      <protection/>
    </xf>
    <xf numFmtId="49" fontId="14" fillId="0" borderId="29" xfId="0" applyNumberFormat="1" applyFont="1" applyFill="1" applyBorder="1" applyAlignment="1" applyProtection="1">
      <alignment horizontal="right" vertical="center"/>
      <protection/>
    </xf>
    <xf numFmtId="4" fontId="14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3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5" fillId="35" borderId="39" xfId="0" applyNumberFormat="1" applyFont="1" applyFill="1" applyBorder="1" applyAlignment="1" applyProtection="1">
      <alignment horizontal="right" vertical="center"/>
      <protection/>
    </xf>
    <xf numFmtId="0" fontId="0" fillId="35" borderId="39" xfId="1" applyNumberFormat="1" applyFill="1" applyBorder="1" applyAlignment="1" applyProtection="1">
      <alignment/>
      <protection/>
    </xf>
    <xf numFmtId="0" fontId="0" fillId="35" borderId="40" xfId="1" applyNumberFormat="1" applyFill="1" applyBorder="1" applyAlignment="1" applyProtection="1">
      <alignment/>
      <protection/>
    </xf>
    <xf numFmtId="49" fontId="5" fillId="35" borderId="41" xfId="0" applyNumberFormat="1" applyFont="1" applyFill="1" applyBorder="1" applyAlignment="1" applyProtection="1">
      <alignment horizontal="left" vertical="center"/>
      <protection/>
    </xf>
    <xf numFmtId="0" fontId="0" fillId="35" borderId="42" xfId="1" applyNumberFormat="1" applyFill="1" applyBorder="1" applyAlignment="1" applyProtection="1">
      <alignment/>
      <protection/>
    </xf>
    <xf numFmtId="4" fontId="5" fillId="35" borderId="41" xfId="0" applyNumberFormat="1" applyFont="1" applyFill="1" applyBorder="1" applyAlignment="1" applyProtection="1">
      <alignment horizontal="right" vertical="center"/>
      <protection/>
    </xf>
    <xf numFmtId="4" fontId="9" fillId="35" borderId="42" xfId="0" applyNumberFormat="1" applyFont="1" applyFill="1" applyBorder="1" applyAlignment="1" applyProtection="1">
      <alignment horizontal="right" vertical="center"/>
      <protection/>
    </xf>
    <xf numFmtId="0" fontId="0" fillId="35" borderId="41" xfId="1" applyNumberFormat="1" applyFill="1" applyBorder="1" applyAlignment="1" applyProtection="1">
      <alignment/>
      <protection/>
    </xf>
    <xf numFmtId="4" fontId="9" fillId="35" borderId="4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2" fillId="0" borderId="0" xfId="0" applyFont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52" fillId="0" borderId="43" xfId="0" applyFont="1" applyBorder="1" applyAlignment="1">
      <alignment horizontal="justify" vertical="center" wrapText="1"/>
    </xf>
    <xf numFmtId="0" fontId="37" fillId="0" borderId="37" xfId="0" applyFont="1" applyBorder="1" applyAlignment="1">
      <alignment/>
    </xf>
    <xf numFmtId="0" fontId="37" fillId="0" borderId="44" xfId="0" applyFont="1" applyBorder="1" applyAlignment="1">
      <alignment/>
    </xf>
    <xf numFmtId="0" fontId="37" fillId="0" borderId="38" xfId="0" applyFont="1" applyBorder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44" xfId="0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5" xfId="0" applyNumberFormat="1" applyFont="1" applyFill="1" applyBorder="1" applyAlignment="1" applyProtection="1">
      <alignment horizontal="left" vertical="center"/>
      <protection/>
    </xf>
    <xf numFmtId="49" fontId="14" fillId="0" borderId="46" xfId="0" applyNumberFormat="1" applyFont="1" applyFill="1" applyBorder="1" applyAlignment="1" applyProtection="1">
      <alignment horizontal="left" vertical="center"/>
      <protection/>
    </xf>
    <xf numFmtId="0" fontId="14" fillId="0" borderId="43" xfId="0" applyNumberFormat="1" applyFont="1" applyFill="1" applyBorder="1" applyAlignment="1" applyProtection="1">
      <alignment horizontal="left" vertical="center"/>
      <protection/>
    </xf>
    <xf numFmtId="0" fontId="14" fillId="0" borderId="47" xfId="0" applyNumberFormat="1" applyFont="1" applyFill="1" applyBorder="1" applyAlignment="1" applyProtection="1">
      <alignment horizontal="left" vertical="center"/>
      <protection/>
    </xf>
    <xf numFmtId="49" fontId="13" fillId="34" borderId="37" xfId="0" applyNumberFormat="1" applyFont="1" applyFill="1" applyBorder="1" applyAlignment="1" applyProtection="1">
      <alignment horizontal="left" vertical="center"/>
      <protection/>
    </xf>
    <xf numFmtId="0" fontId="13" fillId="34" borderId="44" xfId="0" applyNumberFormat="1" applyFont="1" applyFill="1" applyBorder="1" applyAlignment="1" applyProtection="1">
      <alignment horizontal="left" vertical="center"/>
      <protection/>
    </xf>
    <xf numFmtId="49" fontId="14" fillId="0" borderId="48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49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1" fillId="0" borderId="44" xfId="0" applyNumberFormat="1" applyFont="1" applyFill="1" applyBorder="1" applyAlignment="1" applyProtection="1">
      <alignment horizontal="center" vertical="center"/>
      <protection/>
    </xf>
    <xf numFmtId="0" fontId="11" fillId="0" borderId="44" xfId="0" applyNumberFormat="1" applyFont="1" applyFill="1" applyBorder="1" applyAlignment="1" applyProtection="1">
      <alignment horizontal="center" vertical="center"/>
      <protection/>
    </xf>
    <xf numFmtId="49" fontId="15" fillId="0" borderId="37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52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55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56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57" xfId="0" applyNumberFormat="1" applyFont="1" applyFill="1" applyBorder="1" applyAlignment="1" applyProtection="1">
      <alignment horizontal="center" vertical="center"/>
      <protection/>
    </xf>
    <xf numFmtId="0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49" fontId="3" fillId="0" borderId="54" xfId="0" applyNumberFormat="1" applyFont="1" applyFill="1" applyBorder="1" applyAlignment="1" applyProtection="1">
      <alignment horizontal="left" vertical="center"/>
      <protection/>
    </xf>
    <xf numFmtId="0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55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5" fillId="35" borderId="39" xfId="0" applyNumberFormat="1" applyFont="1" applyFill="1" applyBorder="1" applyAlignment="1" applyProtection="1">
      <alignment horizontal="left" vertical="center"/>
      <protection/>
    </xf>
    <xf numFmtId="0" fontId="5" fillId="0" borderId="41" xfId="0" applyNumberFormat="1" applyFont="1" applyFill="1" applyBorder="1" applyAlignment="1" applyProtection="1">
      <alignment horizontal="left" vertical="center"/>
      <protection/>
    </xf>
    <xf numFmtId="49" fontId="9" fillId="35" borderId="39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49" fontId="9" fillId="35" borderId="40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53" fillId="0" borderId="0" xfId="0" applyFont="1" applyAlignment="1">
      <alignment horizontal="justify" vertical="center" wrapText="1"/>
    </xf>
    <xf numFmtId="0" fontId="37" fillId="36" borderId="37" xfId="0" applyFont="1" applyFill="1" applyBorder="1" applyAlignment="1">
      <alignment horizontal="center"/>
    </xf>
    <xf numFmtId="0" fontId="37" fillId="36" borderId="44" xfId="0" applyFont="1" applyFill="1" applyBorder="1" applyAlignment="1">
      <alignment horizontal="center"/>
    </xf>
    <xf numFmtId="0" fontId="37" fillId="36" borderId="38" xfId="0" applyFont="1" applyFill="1" applyBorder="1" applyAlignment="1">
      <alignment horizontal="center"/>
    </xf>
    <xf numFmtId="0" fontId="52" fillId="0" borderId="43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justify" vertical="center" wrapText="1"/>
    </xf>
    <xf numFmtId="0" fontId="53" fillId="0" borderId="0" xfId="0" applyFont="1" applyAlignment="1">
      <alignment horizontal="justify" vertical="center"/>
    </xf>
    <xf numFmtId="0" fontId="53" fillId="0" borderId="12" xfId="0" applyFont="1" applyBorder="1" applyAlignment="1">
      <alignment horizontal="justify" vertical="center"/>
    </xf>
    <xf numFmtId="17" fontId="53" fillId="0" borderId="0" xfId="0" applyNumberFormat="1" applyFont="1" applyAlignment="1" quotePrefix="1">
      <alignment horizontal="justify" vertical="center" wrapText="1"/>
    </xf>
    <xf numFmtId="17" fontId="53" fillId="0" borderId="0" xfId="0" applyNumberFormat="1" applyFont="1" applyAlignment="1">
      <alignment horizontal="justify" vertical="center" wrapText="1"/>
    </xf>
    <xf numFmtId="0" fontId="52" fillId="0" borderId="0" xfId="0" applyFont="1" applyAlignment="1">
      <alignment horizontal="justify" vertical="center" wrapText="1"/>
    </xf>
    <xf numFmtId="0" fontId="54" fillId="37" borderId="12" xfId="0" applyFont="1" applyFill="1" applyBorder="1" applyAlignment="1">
      <alignment horizontal="center" vertical="center" wrapText="1"/>
    </xf>
    <xf numFmtId="0" fontId="54" fillId="37" borderId="0" xfId="0" applyFont="1" applyFill="1" applyBorder="1" applyAlignment="1">
      <alignment horizontal="center" vertical="center" wrapText="1"/>
    </xf>
    <xf numFmtId="0" fontId="54" fillId="37" borderId="43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166" fontId="34" fillId="0" borderId="0" xfId="0" applyNumberFormat="1" applyFont="1" applyBorder="1" applyAlignment="1">
      <alignment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7"/>
  <sheetViews>
    <sheetView zoomScalePageLayoutView="0" workbookViewId="0" topLeftCell="A1">
      <selection activeCell="C4" sqref="C4:D5"/>
    </sheetView>
  </sheetViews>
  <sheetFormatPr defaultColWidth="11.57421875" defaultRowHeight="12.75"/>
  <cols>
    <col min="1" max="1" width="9.140625" style="0" customWidth="1"/>
    <col min="2" max="2" width="12.7109375" style="0" customWidth="1"/>
    <col min="3" max="3" width="22.8515625" style="0" customWidth="1"/>
    <col min="4" max="4" width="10.14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7109375" style="0" customWidth="1"/>
    <col min="9" max="9" width="22.8515625" style="0" customWidth="1"/>
  </cols>
  <sheetData>
    <row r="1" spans="1:9" ht="72.75" customHeight="1">
      <c r="A1" s="61"/>
      <c r="B1" s="7"/>
      <c r="C1" s="120" t="s">
        <v>846</v>
      </c>
      <c r="D1" s="121"/>
      <c r="E1" s="121"/>
      <c r="F1" s="121"/>
      <c r="G1" s="121"/>
      <c r="H1" s="121"/>
      <c r="I1" s="121"/>
    </row>
    <row r="2" spans="1:10" ht="12.75">
      <c r="A2" s="122" t="s">
        <v>1</v>
      </c>
      <c r="B2" s="123"/>
      <c r="C2" s="124" t="str">
        <f>'Stavební rozpočet'!C2</f>
        <v>NZM Praha úprava bytu 1+1/1.PP</v>
      </c>
      <c r="D2" s="125"/>
      <c r="E2" s="127" t="s">
        <v>758</v>
      </c>
      <c r="F2" s="127" t="str">
        <f>'Stavební rozpočet'!I2</f>
        <v>Národní zemědělské muzeum s.p.o Praha</v>
      </c>
      <c r="G2" s="123"/>
      <c r="H2" s="127" t="s">
        <v>870</v>
      </c>
      <c r="I2" s="128" t="s">
        <v>874</v>
      </c>
      <c r="J2" s="31"/>
    </row>
    <row r="3" spans="1:10" ht="12.75" customHeight="1">
      <c r="A3" s="117"/>
      <c r="B3" s="91"/>
      <c r="C3" s="126"/>
      <c r="D3" s="126"/>
      <c r="E3" s="91"/>
      <c r="F3" s="91"/>
      <c r="G3" s="91"/>
      <c r="H3" s="91"/>
      <c r="I3" s="119"/>
      <c r="J3" s="31"/>
    </row>
    <row r="4" spans="1:10" ht="12.75">
      <c r="A4" s="111" t="s">
        <v>2</v>
      </c>
      <c r="B4" s="91"/>
      <c r="C4" s="90" t="s">
        <v>957</v>
      </c>
      <c r="D4" s="91"/>
      <c r="E4" s="90" t="s">
        <v>759</v>
      </c>
      <c r="F4" s="90" t="str">
        <f>'Stavební rozpočet'!I4</f>
        <v>Ing arch. M. Vajtr, Praha</v>
      </c>
      <c r="G4" s="91"/>
      <c r="H4" s="90" t="s">
        <v>870</v>
      </c>
      <c r="I4" s="118" t="s">
        <v>875</v>
      </c>
      <c r="J4" s="31"/>
    </row>
    <row r="5" spans="1:10" ht="12.75" customHeight="1">
      <c r="A5" s="117"/>
      <c r="B5" s="91"/>
      <c r="C5" s="91"/>
      <c r="D5" s="91"/>
      <c r="E5" s="91"/>
      <c r="F5" s="91"/>
      <c r="G5" s="91"/>
      <c r="H5" s="91"/>
      <c r="I5" s="119"/>
      <c r="J5" s="31"/>
    </row>
    <row r="6" spans="1:10" ht="12.75">
      <c r="A6" s="111" t="s">
        <v>3</v>
      </c>
      <c r="B6" s="91"/>
      <c r="C6" s="90" t="str">
        <f>'Stavební rozpočet'!C6</f>
        <v>Praha</v>
      </c>
      <c r="D6" s="91"/>
      <c r="E6" s="90" t="s">
        <v>760</v>
      </c>
      <c r="F6" s="90" t="str">
        <f>'Stavební rozpočet'!I6</f>
        <v> </v>
      </c>
      <c r="G6" s="91"/>
      <c r="H6" s="90" t="s">
        <v>870</v>
      </c>
      <c r="I6" s="118"/>
      <c r="J6" s="31"/>
    </row>
    <row r="7" spans="1:10" ht="12.75" customHeight="1">
      <c r="A7" s="117"/>
      <c r="B7" s="91"/>
      <c r="C7" s="91"/>
      <c r="D7" s="91"/>
      <c r="E7" s="91"/>
      <c r="F7" s="91"/>
      <c r="G7" s="91"/>
      <c r="H7" s="91"/>
      <c r="I7" s="119"/>
      <c r="J7" s="31"/>
    </row>
    <row r="8" spans="1:10" ht="12.75">
      <c r="A8" s="111" t="s">
        <v>742</v>
      </c>
      <c r="B8" s="91"/>
      <c r="C8" s="90" t="str">
        <f>'Stavební rozpočet'!F4</f>
        <v>22.09.2019</v>
      </c>
      <c r="D8" s="91"/>
      <c r="E8" s="90" t="s">
        <v>743</v>
      </c>
      <c r="F8" s="90" t="str">
        <f>'Stavební rozpočet'!F6</f>
        <v> </v>
      </c>
      <c r="G8" s="91"/>
      <c r="H8" s="114" t="s">
        <v>871</v>
      </c>
      <c r="I8" s="118" t="s">
        <v>195</v>
      </c>
      <c r="J8" s="31"/>
    </row>
    <row r="9" spans="1:10" ht="12.75">
      <c r="A9" s="117"/>
      <c r="B9" s="91"/>
      <c r="C9" s="91"/>
      <c r="D9" s="91"/>
      <c r="E9" s="91"/>
      <c r="F9" s="91"/>
      <c r="G9" s="91"/>
      <c r="H9" s="91"/>
      <c r="I9" s="119"/>
      <c r="J9" s="31"/>
    </row>
    <row r="10" spans="1:10" ht="12.75">
      <c r="A10" s="111" t="s">
        <v>4</v>
      </c>
      <c r="B10" s="91"/>
      <c r="C10" s="90" t="str">
        <f>'Stavební rozpočet'!C8</f>
        <v> </v>
      </c>
      <c r="D10" s="91"/>
      <c r="E10" s="90" t="s">
        <v>761</v>
      </c>
      <c r="F10" s="90" t="str">
        <f>'Stavební rozpočet'!I8</f>
        <v>Pejchalová</v>
      </c>
      <c r="G10" s="91"/>
      <c r="H10" s="114" t="s">
        <v>872</v>
      </c>
      <c r="I10" s="115" t="str">
        <f>'Stavební rozpočet'!F8</f>
        <v>22.09.2019</v>
      </c>
      <c r="J10" s="31"/>
    </row>
    <row r="11" spans="1:10" ht="12.75">
      <c r="A11" s="112"/>
      <c r="B11" s="113"/>
      <c r="C11" s="113"/>
      <c r="D11" s="113"/>
      <c r="E11" s="113"/>
      <c r="F11" s="113"/>
      <c r="G11" s="113"/>
      <c r="H11" s="113"/>
      <c r="I11" s="116"/>
      <c r="J11" s="31"/>
    </row>
    <row r="12" spans="1:9" ht="18.75" customHeight="1">
      <c r="A12" s="107" t="s">
        <v>831</v>
      </c>
      <c r="B12" s="108"/>
      <c r="C12" s="108"/>
      <c r="D12" s="108"/>
      <c r="E12" s="108"/>
      <c r="F12" s="108"/>
      <c r="G12" s="108"/>
      <c r="H12" s="108"/>
      <c r="I12" s="108"/>
    </row>
    <row r="13" spans="1:10" ht="26.25" customHeight="1">
      <c r="A13" s="45" t="s">
        <v>832</v>
      </c>
      <c r="B13" s="109" t="s">
        <v>844</v>
      </c>
      <c r="C13" s="110"/>
      <c r="D13" s="45" t="s">
        <v>847</v>
      </c>
      <c r="E13" s="109" t="s">
        <v>856</v>
      </c>
      <c r="F13" s="110"/>
      <c r="G13" s="45" t="s">
        <v>857</v>
      </c>
      <c r="H13" s="109" t="s">
        <v>873</v>
      </c>
      <c r="I13" s="110"/>
      <c r="J13" s="31"/>
    </row>
    <row r="14" spans="1:10" ht="12.75" customHeight="1">
      <c r="A14" s="46" t="s">
        <v>833</v>
      </c>
      <c r="B14" s="50" t="s">
        <v>845</v>
      </c>
      <c r="C14" s="54">
        <f>SUM('Stavební rozpočet'!AB12:AB500)</f>
        <v>0</v>
      </c>
      <c r="D14" s="105" t="s">
        <v>848</v>
      </c>
      <c r="E14" s="106"/>
      <c r="F14" s="54">
        <v>0</v>
      </c>
      <c r="G14" s="105" t="s">
        <v>733</v>
      </c>
      <c r="H14" s="106"/>
      <c r="I14" s="54">
        <v>0</v>
      </c>
      <c r="J14" s="31"/>
    </row>
    <row r="15" spans="1:10" ht="12.75" customHeight="1">
      <c r="A15" s="47"/>
      <c r="B15" s="50" t="s">
        <v>771</v>
      </c>
      <c r="C15" s="54">
        <f>SUM('Stavební rozpočet'!AC12:AC500)</f>
        <v>0</v>
      </c>
      <c r="D15" s="105" t="s">
        <v>849</v>
      </c>
      <c r="E15" s="106"/>
      <c r="F15" s="54">
        <v>0</v>
      </c>
      <c r="G15" s="105" t="s">
        <v>858</v>
      </c>
      <c r="H15" s="106"/>
      <c r="I15" s="54">
        <v>0</v>
      </c>
      <c r="J15" s="31"/>
    </row>
    <row r="16" spans="1:10" ht="12.75" customHeight="1">
      <c r="A16" s="46" t="s">
        <v>834</v>
      </c>
      <c r="B16" s="50" t="s">
        <v>845</v>
      </c>
      <c r="C16" s="54">
        <f>SUM('Stavební rozpočet'!AD12:AD500)</f>
        <v>0</v>
      </c>
      <c r="D16" s="105" t="s">
        <v>850</v>
      </c>
      <c r="E16" s="106"/>
      <c r="F16" s="54">
        <v>0</v>
      </c>
      <c r="G16" s="105" t="s">
        <v>859</v>
      </c>
      <c r="H16" s="106"/>
      <c r="I16" s="54">
        <v>0</v>
      </c>
      <c r="J16" s="31"/>
    </row>
    <row r="17" spans="1:10" ht="12.75" customHeight="1">
      <c r="A17" s="47"/>
      <c r="B17" s="50" t="s">
        <v>771</v>
      </c>
      <c r="C17" s="54">
        <f>SUM('Stavební rozpočet'!AE12:AE500)</f>
        <v>0</v>
      </c>
      <c r="D17" s="105"/>
      <c r="E17" s="106"/>
      <c r="F17" s="55"/>
      <c r="G17" s="105" t="s">
        <v>860</v>
      </c>
      <c r="H17" s="106"/>
      <c r="I17" s="54">
        <v>0</v>
      </c>
      <c r="J17" s="31"/>
    </row>
    <row r="18" spans="1:10" ht="12.75" customHeight="1">
      <c r="A18" s="46" t="s">
        <v>835</v>
      </c>
      <c r="B18" s="50" t="s">
        <v>845</v>
      </c>
      <c r="C18" s="54">
        <f>SUM('Stavební rozpočet'!AF12:AF500)</f>
        <v>0</v>
      </c>
      <c r="D18" s="105"/>
      <c r="E18" s="106"/>
      <c r="F18" s="55"/>
      <c r="G18" s="105" t="s">
        <v>861</v>
      </c>
      <c r="H18" s="106"/>
      <c r="I18" s="54">
        <v>0</v>
      </c>
      <c r="J18" s="31"/>
    </row>
    <row r="19" spans="1:10" ht="12.75" customHeight="1">
      <c r="A19" s="47"/>
      <c r="B19" s="50" t="s">
        <v>771</v>
      </c>
      <c r="C19" s="54">
        <f>SUM('Stavební rozpočet'!AG12:AG500)</f>
        <v>0</v>
      </c>
      <c r="D19" s="105"/>
      <c r="E19" s="106"/>
      <c r="F19" s="55"/>
      <c r="G19" s="105" t="s">
        <v>862</v>
      </c>
      <c r="H19" s="106"/>
      <c r="I19" s="54">
        <v>0</v>
      </c>
      <c r="J19" s="31"/>
    </row>
    <row r="20" spans="1:10" ht="12.75" customHeight="1">
      <c r="A20" s="103" t="s">
        <v>836</v>
      </c>
      <c r="B20" s="104"/>
      <c r="C20" s="54">
        <f>SUM('Stavební rozpočet'!AH12:AH500)</f>
        <v>0</v>
      </c>
      <c r="D20" s="105"/>
      <c r="E20" s="106"/>
      <c r="F20" s="55"/>
      <c r="G20" s="105"/>
      <c r="H20" s="106"/>
      <c r="I20" s="55"/>
      <c r="J20" s="31"/>
    </row>
    <row r="21" spans="1:10" ht="12.75" customHeight="1">
      <c r="A21" s="103" t="s">
        <v>837</v>
      </c>
      <c r="B21" s="104"/>
      <c r="C21" s="54">
        <f>SUM('Stavební rozpočet'!Z12:Z500)</f>
        <v>0</v>
      </c>
      <c r="D21" s="105"/>
      <c r="E21" s="106"/>
      <c r="F21" s="55"/>
      <c r="G21" s="105"/>
      <c r="H21" s="106"/>
      <c r="I21" s="55"/>
      <c r="J21" s="31"/>
    </row>
    <row r="22" spans="1:10" ht="16.5" customHeight="1">
      <c r="A22" s="103" t="s">
        <v>838</v>
      </c>
      <c r="B22" s="104"/>
      <c r="C22" s="54">
        <f>SUM(C14:C21)</f>
        <v>0</v>
      </c>
      <c r="D22" s="103" t="s">
        <v>851</v>
      </c>
      <c r="E22" s="104"/>
      <c r="F22" s="54">
        <f>SUM(F14:F21)</f>
        <v>0</v>
      </c>
      <c r="G22" s="103" t="s">
        <v>863</v>
      </c>
      <c r="H22" s="104"/>
      <c r="I22" s="54">
        <f>SUM(I14:I21)</f>
        <v>0</v>
      </c>
      <c r="J22" s="31"/>
    </row>
    <row r="23" spans="1:10" ht="12.75" customHeight="1" thickBot="1">
      <c r="A23" s="8"/>
      <c r="B23" s="8"/>
      <c r="C23" s="52"/>
      <c r="D23" s="103" t="s">
        <v>852</v>
      </c>
      <c r="E23" s="104"/>
      <c r="F23" s="56">
        <v>0</v>
      </c>
      <c r="G23" s="103" t="s">
        <v>864</v>
      </c>
      <c r="H23" s="104"/>
      <c r="I23" s="54">
        <v>0</v>
      </c>
      <c r="J23" s="31"/>
    </row>
    <row r="24" spans="4:9" ht="12.75" customHeight="1">
      <c r="D24" s="8"/>
      <c r="E24" s="8"/>
      <c r="F24" s="57"/>
      <c r="G24" s="103" t="s">
        <v>865</v>
      </c>
      <c r="H24" s="104"/>
      <c r="I24" s="59"/>
    </row>
    <row r="25" spans="6:10" ht="12.75" customHeight="1">
      <c r="F25" s="58"/>
      <c r="G25" s="103" t="s">
        <v>866</v>
      </c>
      <c r="H25" s="104"/>
      <c r="I25" s="54">
        <v>0</v>
      </c>
      <c r="J25" s="31"/>
    </row>
    <row r="26" spans="1:9" ht="12.75">
      <c r="A26" s="7"/>
      <c r="B26" s="7"/>
      <c r="C26" s="7"/>
      <c r="G26" s="8"/>
      <c r="H26" s="8"/>
      <c r="I26" s="8"/>
    </row>
    <row r="27" spans="1:9" ht="12.75" customHeight="1">
      <c r="A27" s="98" t="s">
        <v>839</v>
      </c>
      <c r="B27" s="99"/>
      <c r="C27" s="60">
        <f>SUM('Stavební rozpočet'!AJ12:AJ500)</f>
        <v>0</v>
      </c>
      <c r="D27" s="53"/>
      <c r="E27" s="7"/>
      <c r="F27" s="7"/>
      <c r="G27" s="7"/>
      <c r="H27" s="7"/>
      <c r="I27" s="7"/>
    </row>
    <row r="28" spans="1:10" ht="12.75" customHeight="1">
      <c r="A28" s="98" t="s">
        <v>840</v>
      </c>
      <c r="B28" s="99"/>
      <c r="C28" s="60">
        <f>Rekapitulace!E13</f>
        <v>0</v>
      </c>
      <c r="D28" s="98" t="s">
        <v>853</v>
      </c>
      <c r="E28" s="99"/>
      <c r="F28" s="60">
        <f>ROUND(C28*(15/100),2)</f>
        <v>0</v>
      </c>
      <c r="G28" s="98" t="s">
        <v>867</v>
      </c>
      <c r="H28" s="99"/>
      <c r="I28" s="60">
        <f>C28</f>
        <v>0</v>
      </c>
      <c r="J28" s="31"/>
    </row>
    <row r="29" spans="1:10" ht="12.75" customHeight="1">
      <c r="A29" s="98" t="s">
        <v>841</v>
      </c>
      <c r="B29" s="99"/>
      <c r="C29" s="60">
        <f>SUM('Stavební rozpočet'!AL12:AL500)</f>
        <v>0</v>
      </c>
      <c r="D29" s="98" t="s">
        <v>854</v>
      </c>
      <c r="E29" s="99"/>
      <c r="F29" s="60">
        <f>ROUND(C29*(21/100),2)</f>
        <v>0</v>
      </c>
      <c r="G29" s="98" t="s">
        <v>868</v>
      </c>
      <c r="H29" s="99"/>
      <c r="I29" s="60">
        <f>SUM(F28:F29)+I28</f>
        <v>0</v>
      </c>
      <c r="J29" s="31"/>
    </row>
    <row r="30" spans="1:9" ht="13.5" thickBot="1">
      <c r="A30" s="48"/>
      <c r="B30" s="48"/>
      <c r="C30" s="48"/>
      <c r="D30" s="48"/>
      <c r="E30" s="48"/>
      <c r="F30" s="48"/>
      <c r="G30" s="48"/>
      <c r="H30" s="48"/>
      <c r="I30" s="48"/>
    </row>
    <row r="31" spans="1:10" ht="12.75" customHeight="1">
      <c r="A31" s="100" t="s">
        <v>842</v>
      </c>
      <c r="B31" s="101"/>
      <c r="C31" s="102"/>
      <c r="D31" s="100" t="s">
        <v>855</v>
      </c>
      <c r="E31" s="101"/>
      <c r="F31" s="102"/>
      <c r="G31" s="100" t="s">
        <v>869</v>
      </c>
      <c r="H31" s="101"/>
      <c r="I31" s="102"/>
      <c r="J31" s="32"/>
    </row>
    <row r="32" spans="1:10" ht="12.75" customHeight="1">
      <c r="A32" s="92"/>
      <c r="B32" s="93"/>
      <c r="C32" s="94"/>
      <c r="D32" s="92"/>
      <c r="E32" s="93"/>
      <c r="F32" s="94"/>
      <c r="G32" s="92"/>
      <c r="H32" s="93"/>
      <c r="I32" s="94"/>
      <c r="J32" s="32"/>
    </row>
    <row r="33" spans="1:10" ht="12.75" customHeight="1">
      <c r="A33" s="92"/>
      <c r="B33" s="93"/>
      <c r="C33" s="94"/>
      <c r="D33" s="92"/>
      <c r="E33" s="93"/>
      <c r="F33" s="94"/>
      <c r="G33" s="92"/>
      <c r="H33" s="93"/>
      <c r="I33" s="94"/>
      <c r="J33" s="32"/>
    </row>
    <row r="34" spans="1:10" ht="12.75" customHeight="1">
      <c r="A34" s="92"/>
      <c r="B34" s="93"/>
      <c r="C34" s="94"/>
      <c r="D34" s="92"/>
      <c r="E34" s="93"/>
      <c r="F34" s="94"/>
      <c r="G34" s="92"/>
      <c r="H34" s="93"/>
      <c r="I34" s="94"/>
      <c r="J34" s="32"/>
    </row>
    <row r="35" spans="1:10" ht="12.75" customHeight="1" thickBot="1">
      <c r="A35" s="95" t="s">
        <v>843</v>
      </c>
      <c r="B35" s="96"/>
      <c r="C35" s="97"/>
      <c r="D35" s="95" t="s">
        <v>843</v>
      </c>
      <c r="E35" s="96"/>
      <c r="F35" s="97"/>
      <c r="G35" s="95" t="s">
        <v>843</v>
      </c>
      <c r="H35" s="96"/>
      <c r="I35" s="97"/>
      <c r="J35" s="32"/>
    </row>
    <row r="36" spans="1:9" ht="10.5" customHeight="1">
      <c r="A36" s="49" t="s">
        <v>196</v>
      </c>
      <c r="B36" s="51"/>
      <c r="C36" s="51"/>
      <c r="D36" s="51"/>
      <c r="E36" s="51"/>
      <c r="F36" s="51"/>
      <c r="G36" s="51"/>
      <c r="H36" s="51"/>
      <c r="I36" s="51"/>
    </row>
    <row r="37" spans="1:9" ht="153.75" customHeight="1">
      <c r="A37" s="90" t="s">
        <v>197</v>
      </c>
      <c r="B37" s="91"/>
      <c r="C37" s="91"/>
      <c r="D37" s="91"/>
      <c r="E37" s="91"/>
      <c r="F37" s="91"/>
      <c r="G37" s="91"/>
      <c r="H37" s="91"/>
      <c r="I37" s="91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E12" sqref="E12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12.140625" style="0" customWidth="1"/>
    <col min="5" max="5" width="22.28125" style="0" customWidth="1"/>
    <col min="6" max="6" width="21.00390625" style="0" customWidth="1"/>
    <col min="7" max="7" width="20.7109375" style="0" customWidth="1"/>
    <col min="8" max="9" width="0" style="0" hidden="1" customWidth="1"/>
  </cols>
  <sheetData>
    <row r="1" spans="1:7" ht="72.75" customHeight="1">
      <c r="A1" s="137" t="s">
        <v>824</v>
      </c>
      <c r="B1" s="121"/>
      <c r="C1" s="121"/>
      <c r="D1" s="121"/>
      <c r="E1" s="121"/>
      <c r="F1" s="121"/>
      <c r="G1" s="121"/>
    </row>
    <row r="2" spans="1:8" ht="12.75">
      <c r="A2" s="122" t="s">
        <v>1</v>
      </c>
      <c r="B2" s="124" t="str">
        <f>'Stavební rozpočet'!C2</f>
        <v>NZM Praha úprava bytu 1+1/1.PP</v>
      </c>
      <c r="C2" s="125"/>
      <c r="D2" s="127" t="s">
        <v>758</v>
      </c>
      <c r="E2" s="127" t="str">
        <f>'Stavební rozpočet'!I2</f>
        <v>Národní zemědělské muzeum s.p.o Praha</v>
      </c>
      <c r="F2" s="123"/>
      <c r="G2" s="138"/>
      <c r="H2" s="31"/>
    </row>
    <row r="3" spans="1:8" ht="12.75" customHeight="1">
      <c r="A3" s="117"/>
      <c r="B3" s="126"/>
      <c r="C3" s="126"/>
      <c r="D3" s="91"/>
      <c r="E3" s="91"/>
      <c r="F3" s="91"/>
      <c r="G3" s="119"/>
      <c r="H3" s="31"/>
    </row>
    <row r="4" spans="1:8" ht="12.75">
      <c r="A4" s="111" t="s">
        <v>2</v>
      </c>
      <c r="B4" s="90" t="str">
        <f>'Stavební rozpočet'!C4</f>
        <v>rekonstrukce, stavební část</v>
      </c>
      <c r="C4" s="91"/>
      <c r="D4" s="90" t="s">
        <v>759</v>
      </c>
      <c r="E4" s="90" t="str">
        <f>'Stavební rozpočet'!I4</f>
        <v>Ing arch. M. Vajtr, Praha</v>
      </c>
      <c r="F4" s="91"/>
      <c r="G4" s="119"/>
      <c r="H4" s="31"/>
    </row>
    <row r="5" spans="1:8" ht="12.75" customHeight="1">
      <c r="A5" s="117"/>
      <c r="B5" s="91"/>
      <c r="C5" s="91"/>
      <c r="D5" s="91"/>
      <c r="E5" s="91"/>
      <c r="F5" s="91"/>
      <c r="G5" s="119"/>
      <c r="H5" s="31"/>
    </row>
    <row r="6" spans="1:8" ht="12.75">
      <c r="A6" s="111" t="s">
        <v>3</v>
      </c>
      <c r="B6" s="90" t="str">
        <f>'Stavební rozpočet'!C6</f>
        <v>Praha</v>
      </c>
      <c r="C6" s="91"/>
      <c r="D6" s="90" t="s">
        <v>760</v>
      </c>
      <c r="E6" s="90" t="str">
        <f>'Stavební rozpočet'!I6</f>
        <v> </v>
      </c>
      <c r="F6" s="91"/>
      <c r="G6" s="119"/>
      <c r="H6" s="31"/>
    </row>
    <row r="7" spans="1:8" ht="12.75" customHeight="1">
      <c r="A7" s="117"/>
      <c r="B7" s="91"/>
      <c r="C7" s="91"/>
      <c r="D7" s="91"/>
      <c r="E7" s="91"/>
      <c r="F7" s="91"/>
      <c r="G7" s="119"/>
      <c r="H7" s="31"/>
    </row>
    <row r="8" spans="1:8" ht="12.75">
      <c r="A8" s="111" t="s">
        <v>761</v>
      </c>
      <c r="B8" s="90" t="str">
        <f>'Stavební rozpočet'!I8</f>
        <v>Pejchalová</v>
      </c>
      <c r="C8" s="91"/>
      <c r="D8" s="114" t="s">
        <v>744</v>
      </c>
      <c r="E8" s="90" t="str">
        <f>'Stavební rozpočet'!F8</f>
        <v>22.09.2019</v>
      </c>
      <c r="F8" s="91"/>
      <c r="G8" s="119"/>
      <c r="H8" s="31"/>
    </row>
    <row r="9" spans="1:8" ht="13.5" thickBot="1">
      <c r="A9" s="134"/>
      <c r="B9" s="135"/>
      <c r="C9" s="135"/>
      <c r="D9" s="135"/>
      <c r="E9" s="135"/>
      <c r="F9" s="135"/>
      <c r="G9" s="136"/>
      <c r="H9" s="31"/>
    </row>
    <row r="10" spans="1:8" ht="13.5" thickBot="1">
      <c r="A10" s="38" t="s">
        <v>825</v>
      </c>
      <c r="B10" s="40" t="s">
        <v>198</v>
      </c>
      <c r="C10" s="129" t="s">
        <v>826</v>
      </c>
      <c r="D10" s="130"/>
      <c r="E10" s="41" t="s">
        <v>827</v>
      </c>
      <c r="F10" s="41" t="s">
        <v>828</v>
      </c>
      <c r="G10" s="41" t="s">
        <v>829</v>
      </c>
      <c r="H10" s="31"/>
    </row>
    <row r="11" spans="1:9" ht="12.75">
      <c r="A11" s="39"/>
      <c r="B11" s="39" t="s">
        <v>7</v>
      </c>
      <c r="C11" s="131" t="s">
        <v>954</v>
      </c>
      <c r="D11" s="132"/>
      <c r="E11" s="43">
        <f>'Krycí list stavební část'!I28</f>
        <v>0</v>
      </c>
      <c r="F11" s="43"/>
      <c r="G11" s="43"/>
      <c r="H11" s="33" t="s">
        <v>830</v>
      </c>
      <c r="I11" s="33">
        <f aca="true" t="shared" si="0" ref="I11:I35">IF(H11="F",0,G11)</f>
        <v>0</v>
      </c>
    </row>
    <row r="12" spans="1:9" ht="12.75">
      <c r="A12" s="14"/>
      <c r="B12" s="14" t="s">
        <v>8</v>
      </c>
      <c r="C12" s="114" t="s">
        <v>955</v>
      </c>
      <c r="D12" s="91"/>
      <c r="E12" s="33">
        <f>elektro!K106</f>
        <v>0</v>
      </c>
      <c r="F12" s="33"/>
      <c r="G12" s="33"/>
      <c r="H12" s="33" t="s">
        <v>830</v>
      </c>
      <c r="I12" s="33">
        <f t="shared" si="0"/>
        <v>0</v>
      </c>
    </row>
    <row r="13" spans="1:9" ht="12.75">
      <c r="A13" s="14"/>
      <c r="B13" s="14"/>
      <c r="C13" s="133" t="s">
        <v>956</v>
      </c>
      <c r="D13" s="126"/>
      <c r="E13" s="44">
        <f>SUM(E11:E12)</f>
        <v>0</v>
      </c>
      <c r="F13" s="33"/>
      <c r="G13" s="33"/>
      <c r="H13" s="33" t="s">
        <v>830</v>
      </c>
      <c r="I13" s="33">
        <f t="shared" si="0"/>
        <v>0</v>
      </c>
    </row>
    <row r="14" spans="1:9" ht="12.75">
      <c r="A14" s="14"/>
      <c r="B14" s="14"/>
      <c r="C14" s="114"/>
      <c r="D14" s="91"/>
      <c r="E14" s="33"/>
      <c r="F14" s="33"/>
      <c r="G14" s="33"/>
      <c r="H14" s="33" t="s">
        <v>830</v>
      </c>
      <c r="I14" s="33">
        <f t="shared" si="0"/>
        <v>0</v>
      </c>
    </row>
    <row r="15" spans="1:9" ht="12.75">
      <c r="A15" s="14"/>
      <c r="B15" s="14"/>
      <c r="C15" s="114"/>
      <c r="D15" s="91"/>
      <c r="E15" s="33"/>
      <c r="F15" s="33"/>
      <c r="G15" s="33"/>
      <c r="H15" s="33" t="s">
        <v>830</v>
      </c>
      <c r="I15" s="33">
        <f t="shared" si="0"/>
        <v>0</v>
      </c>
    </row>
    <row r="16" spans="1:9" ht="12.75">
      <c r="A16" s="14"/>
      <c r="B16" s="14"/>
      <c r="C16" s="114"/>
      <c r="D16" s="91"/>
      <c r="E16" s="33"/>
      <c r="F16" s="33"/>
      <c r="G16" s="33"/>
      <c r="H16" s="33" t="s">
        <v>830</v>
      </c>
      <c r="I16" s="33">
        <f t="shared" si="0"/>
        <v>0</v>
      </c>
    </row>
    <row r="17" spans="1:9" ht="12.75">
      <c r="A17" s="14"/>
      <c r="B17" s="14"/>
      <c r="C17" s="114"/>
      <c r="D17" s="91"/>
      <c r="E17" s="33"/>
      <c r="F17" s="33"/>
      <c r="G17" s="33"/>
      <c r="H17" s="33" t="s">
        <v>830</v>
      </c>
      <c r="I17" s="33">
        <f t="shared" si="0"/>
        <v>0</v>
      </c>
    </row>
    <row r="18" spans="1:9" ht="12.75">
      <c r="A18" s="14"/>
      <c r="B18" s="14"/>
      <c r="C18" s="114"/>
      <c r="D18" s="91"/>
      <c r="E18" s="33"/>
      <c r="F18" s="33"/>
      <c r="G18" s="33"/>
      <c r="H18" s="33" t="s">
        <v>830</v>
      </c>
      <c r="I18" s="33">
        <f t="shared" si="0"/>
        <v>0</v>
      </c>
    </row>
    <row r="19" spans="1:9" ht="12.75">
      <c r="A19" s="14"/>
      <c r="B19" s="14"/>
      <c r="C19" s="114"/>
      <c r="D19" s="91"/>
      <c r="E19" s="33"/>
      <c r="F19" s="33"/>
      <c r="G19" s="33"/>
      <c r="H19" s="33" t="s">
        <v>830</v>
      </c>
      <c r="I19" s="33">
        <f t="shared" si="0"/>
        <v>0</v>
      </c>
    </row>
    <row r="20" spans="1:9" ht="12.75">
      <c r="A20" s="14"/>
      <c r="B20" s="14"/>
      <c r="C20" s="114"/>
      <c r="D20" s="91"/>
      <c r="E20" s="33"/>
      <c r="F20" s="33"/>
      <c r="G20" s="33"/>
      <c r="H20" s="33" t="s">
        <v>830</v>
      </c>
      <c r="I20" s="33">
        <f t="shared" si="0"/>
        <v>0</v>
      </c>
    </row>
    <row r="21" spans="1:9" ht="12.75">
      <c r="A21" s="14"/>
      <c r="B21" s="14"/>
      <c r="C21" s="114"/>
      <c r="D21" s="91"/>
      <c r="E21" s="33"/>
      <c r="F21" s="33"/>
      <c r="G21" s="33"/>
      <c r="H21" s="33" t="s">
        <v>830</v>
      </c>
      <c r="I21" s="33">
        <f t="shared" si="0"/>
        <v>0</v>
      </c>
    </row>
    <row r="22" spans="1:9" ht="12.75">
      <c r="A22" s="14"/>
      <c r="B22" s="14"/>
      <c r="C22" s="114"/>
      <c r="D22" s="91"/>
      <c r="E22" s="33"/>
      <c r="F22" s="33"/>
      <c r="G22" s="33"/>
      <c r="H22" s="33" t="s">
        <v>830</v>
      </c>
      <c r="I22" s="33">
        <f t="shared" si="0"/>
        <v>0</v>
      </c>
    </row>
    <row r="23" spans="1:9" ht="12.75">
      <c r="A23" s="14"/>
      <c r="B23" s="14"/>
      <c r="C23" s="114"/>
      <c r="D23" s="91"/>
      <c r="E23" s="33"/>
      <c r="F23" s="33"/>
      <c r="G23" s="33"/>
      <c r="H23" s="33" t="s">
        <v>830</v>
      </c>
      <c r="I23" s="33">
        <f t="shared" si="0"/>
        <v>0</v>
      </c>
    </row>
    <row r="24" spans="1:9" ht="12.75">
      <c r="A24" s="14"/>
      <c r="B24" s="14"/>
      <c r="C24" s="114"/>
      <c r="D24" s="91"/>
      <c r="E24" s="33"/>
      <c r="F24" s="33"/>
      <c r="G24" s="33"/>
      <c r="H24" s="33" t="s">
        <v>830</v>
      </c>
      <c r="I24" s="33">
        <f t="shared" si="0"/>
        <v>0</v>
      </c>
    </row>
    <row r="25" spans="1:9" ht="12.75">
      <c r="A25" s="14"/>
      <c r="B25" s="14"/>
      <c r="C25" s="114"/>
      <c r="D25" s="91"/>
      <c r="E25" s="33"/>
      <c r="F25" s="33"/>
      <c r="G25" s="33"/>
      <c r="H25" s="33" t="s">
        <v>830</v>
      </c>
      <c r="I25" s="33">
        <f t="shared" si="0"/>
        <v>0</v>
      </c>
    </row>
    <row r="26" spans="1:9" ht="12.75">
      <c r="A26" s="14"/>
      <c r="B26" s="14"/>
      <c r="C26" s="114"/>
      <c r="D26" s="91"/>
      <c r="E26" s="33"/>
      <c r="F26" s="33"/>
      <c r="G26" s="33"/>
      <c r="H26" s="33" t="s">
        <v>830</v>
      </c>
      <c r="I26" s="33">
        <f t="shared" si="0"/>
        <v>0</v>
      </c>
    </row>
    <row r="27" spans="1:9" ht="12.75">
      <c r="A27" s="14"/>
      <c r="B27" s="14"/>
      <c r="C27" s="114"/>
      <c r="D27" s="91"/>
      <c r="E27" s="33"/>
      <c r="F27" s="33"/>
      <c r="G27" s="33"/>
      <c r="H27" s="33" t="s">
        <v>830</v>
      </c>
      <c r="I27" s="33">
        <f t="shared" si="0"/>
        <v>0</v>
      </c>
    </row>
    <row r="28" spans="1:9" ht="12.75">
      <c r="A28" s="14"/>
      <c r="B28" s="14"/>
      <c r="C28" s="114"/>
      <c r="D28" s="91"/>
      <c r="E28" s="33"/>
      <c r="F28" s="33"/>
      <c r="G28" s="33"/>
      <c r="H28" s="33" t="s">
        <v>830</v>
      </c>
      <c r="I28" s="33">
        <f t="shared" si="0"/>
        <v>0</v>
      </c>
    </row>
    <row r="29" spans="1:9" ht="12.75">
      <c r="A29" s="14"/>
      <c r="B29" s="14"/>
      <c r="C29" s="114"/>
      <c r="D29" s="91"/>
      <c r="E29" s="33"/>
      <c r="F29" s="33"/>
      <c r="G29" s="33"/>
      <c r="H29" s="33" t="s">
        <v>830</v>
      </c>
      <c r="I29" s="33">
        <f t="shared" si="0"/>
        <v>0</v>
      </c>
    </row>
    <row r="30" spans="1:9" ht="12.75">
      <c r="A30" s="14"/>
      <c r="B30" s="14"/>
      <c r="C30" s="114"/>
      <c r="D30" s="91"/>
      <c r="E30" s="33"/>
      <c r="F30" s="33"/>
      <c r="G30" s="33"/>
      <c r="H30" s="33" t="s">
        <v>830</v>
      </c>
      <c r="I30" s="33">
        <f t="shared" si="0"/>
        <v>0</v>
      </c>
    </row>
    <row r="31" spans="1:9" ht="12.75">
      <c r="A31" s="14"/>
      <c r="B31" s="14"/>
      <c r="C31" s="114"/>
      <c r="D31" s="91"/>
      <c r="E31" s="33"/>
      <c r="F31" s="33"/>
      <c r="G31" s="33"/>
      <c r="H31" s="33" t="s">
        <v>830</v>
      </c>
      <c r="I31" s="33">
        <f t="shared" si="0"/>
        <v>0</v>
      </c>
    </row>
    <row r="32" spans="1:9" ht="12.75">
      <c r="A32" s="14"/>
      <c r="B32" s="14"/>
      <c r="C32" s="114"/>
      <c r="D32" s="91"/>
      <c r="E32" s="33"/>
      <c r="F32" s="33"/>
      <c r="G32" s="33"/>
      <c r="H32" s="33" t="s">
        <v>830</v>
      </c>
      <c r="I32" s="33">
        <f t="shared" si="0"/>
        <v>0</v>
      </c>
    </row>
    <row r="33" spans="1:9" ht="12.75">
      <c r="A33" s="14"/>
      <c r="B33" s="14"/>
      <c r="C33" s="114"/>
      <c r="D33" s="91"/>
      <c r="E33" s="33"/>
      <c r="F33" s="33"/>
      <c r="G33" s="33"/>
      <c r="H33" s="33" t="s">
        <v>830</v>
      </c>
      <c r="I33" s="33">
        <f t="shared" si="0"/>
        <v>0</v>
      </c>
    </row>
    <row r="34" spans="1:9" ht="12.75">
      <c r="A34" s="14"/>
      <c r="B34" s="14"/>
      <c r="C34" s="114"/>
      <c r="D34" s="91"/>
      <c r="E34" s="33"/>
      <c r="F34" s="33"/>
      <c r="G34" s="33"/>
      <c r="H34" s="33" t="s">
        <v>830</v>
      </c>
      <c r="I34" s="33">
        <f t="shared" si="0"/>
        <v>0</v>
      </c>
    </row>
    <row r="35" spans="1:9" ht="12.75">
      <c r="A35" s="14"/>
      <c r="B35" s="14"/>
      <c r="C35" s="114"/>
      <c r="D35" s="91"/>
      <c r="E35" s="33"/>
      <c r="F35" s="33"/>
      <c r="G35" s="33"/>
      <c r="H35" s="33" t="s">
        <v>830</v>
      </c>
      <c r="I35" s="33">
        <f t="shared" si="0"/>
        <v>0</v>
      </c>
    </row>
    <row r="37" spans="6:7" ht="12.75">
      <c r="F37" s="42"/>
      <c r="G37" s="44"/>
    </row>
  </sheetData>
  <sheetProtection/>
  <mergeCells count="43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4:D34"/>
    <mergeCell ref="C35:D35"/>
    <mergeCell ref="C28:D28"/>
    <mergeCell ref="C29:D29"/>
    <mergeCell ref="C30:D30"/>
    <mergeCell ref="C31:D31"/>
    <mergeCell ref="C32:D32"/>
    <mergeCell ref="C33:D3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7"/>
  <sheetViews>
    <sheetView zoomScalePageLayoutView="0" workbookViewId="0" topLeftCell="A1">
      <selection activeCell="F29" sqref="F29"/>
    </sheetView>
  </sheetViews>
  <sheetFormatPr defaultColWidth="11.57421875" defaultRowHeight="12.75"/>
  <cols>
    <col min="1" max="1" width="9.140625" style="0" customWidth="1"/>
    <col min="2" max="2" width="12.7109375" style="0" customWidth="1"/>
    <col min="3" max="3" width="22.8515625" style="0" customWidth="1"/>
    <col min="4" max="4" width="10.14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7109375" style="0" customWidth="1"/>
    <col min="9" max="9" width="22.8515625" style="0" customWidth="1"/>
  </cols>
  <sheetData>
    <row r="1" spans="1:9" ht="72.75" customHeight="1">
      <c r="A1" s="61"/>
      <c r="B1" s="7"/>
      <c r="C1" s="120" t="s">
        <v>846</v>
      </c>
      <c r="D1" s="121"/>
      <c r="E1" s="121"/>
      <c r="F1" s="121"/>
      <c r="G1" s="121"/>
      <c r="H1" s="121"/>
      <c r="I1" s="121"/>
    </row>
    <row r="2" spans="1:10" ht="12.75">
      <c r="A2" s="122" t="s">
        <v>1</v>
      </c>
      <c r="B2" s="123"/>
      <c r="C2" s="124" t="str">
        <f>'Stavební rozpočet'!C2</f>
        <v>NZM Praha úprava bytu 1+1/1.PP</v>
      </c>
      <c r="D2" s="125"/>
      <c r="E2" s="127" t="s">
        <v>758</v>
      </c>
      <c r="F2" s="127" t="str">
        <f>'Stavební rozpočet'!I2</f>
        <v>Národní zemědělské muzeum s.p.o Praha</v>
      </c>
      <c r="G2" s="123"/>
      <c r="H2" s="127" t="s">
        <v>870</v>
      </c>
      <c r="I2" s="128" t="s">
        <v>874</v>
      </c>
      <c r="J2" s="31"/>
    </row>
    <row r="3" spans="1:10" ht="12.75" customHeight="1">
      <c r="A3" s="117"/>
      <c r="B3" s="91"/>
      <c r="C3" s="126"/>
      <c r="D3" s="126"/>
      <c r="E3" s="91"/>
      <c r="F3" s="91"/>
      <c r="G3" s="91"/>
      <c r="H3" s="91"/>
      <c r="I3" s="119"/>
      <c r="J3" s="31"/>
    </row>
    <row r="4" spans="1:10" ht="12.75">
      <c r="A4" s="111" t="s">
        <v>2</v>
      </c>
      <c r="B4" s="91"/>
      <c r="C4" s="90" t="str">
        <f>'Stavební rozpočet'!C4</f>
        <v>rekonstrukce, stavební část</v>
      </c>
      <c r="D4" s="91"/>
      <c r="E4" s="90" t="s">
        <v>759</v>
      </c>
      <c r="F4" s="90" t="str">
        <f>'Stavební rozpočet'!I4</f>
        <v>Ing arch. M. Vajtr, Praha</v>
      </c>
      <c r="G4" s="91"/>
      <c r="H4" s="90" t="s">
        <v>870</v>
      </c>
      <c r="I4" s="118" t="s">
        <v>875</v>
      </c>
      <c r="J4" s="31"/>
    </row>
    <row r="5" spans="1:10" ht="12.75" customHeight="1">
      <c r="A5" s="117"/>
      <c r="B5" s="91"/>
      <c r="C5" s="91"/>
      <c r="D5" s="91"/>
      <c r="E5" s="91"/>
      <c r="F5" s="91"/>
      <c r="G5" s="91"/>
      <c r="H5" s="91"/>
      <c r="I5" s="119"/>
      <c r="J5" s="31"/>
    </row>
    <row r="6" spans="1:10" ht="12.75">
      <c r="A6" s="111" t="s">
        <v>3</v>
      </c>
      <c r="B6" s="91"/>
      <c r="C6" s="90" t="str">
        <f>'Stavební rozpočet'!C6</f>
        <v>Praha</v>
      </c>
      <c r="D6" s="91"/>
      <c r="E6" s="90" t="s">
        <v>760</v>
      </c>
      <c r="F6" s="90" t="str">
        <f>'Stavební rozpočet'!I6</f>
        <v> </v>
      </c>
      <c r="G6" s="91"/>
      <c r="H6" s="90" t="s">
        <v>870</v>
      </c>
      <c r="I6" s="118"/>
      <c r="J6" s="31"/>
    </row>
    <row r="7" spans="1:10" ht="12.75" customHeight="1">
      <c r="A7" s="117"/>
      <c r="B7" s="91"/>
      <c r="C7" s="91"/>
      <c r="D7" s="91"/>
      <c r="E7" s="91"/>
      <c r="F7" s="91"/>
      <c r="G7" s="91"/>
      <c r="H7" s="91"/>
      <c r="I7" s="119"/>
      <c r="J7" s="31"/>
    </row>
    <row r="8" spans="1:10" ht="12.75">
      <c r="A8" s="111" t="s">
        <v>742</v>
      </c>
      <c r="B8" s="91"/>
      <c r="C8" s="90" t="str">
        <f>'Stavební rozpočet'!F4</f>
        <v>22.09.2019</v>
      </c>
      <c r="D8" s="91"/>
      <c r="E8" s="90" t="s">
        <v>743</v>
      </c>
      <c r="F8" s="90" t="str">
        <f>'Stavební rozpočet'!F6</f>
        <v> </v>
      </c>
      <c r="G8" s="91"/>
      <c r="H8" s="114" t="s">
        <v>871</v>
      </c>
      <c r="I8" s="118" t="s">
        <v>195</v>
      </c>
      <c r="J8" s="31"/>
    </row>
    <row r="9" spans="1:10" ht="12.75">
      <c r="A9" s="117"/>
      <c r="B9" s="91"/>
      <c r="C9" s="91"/>
      <c r="D9" s="91"/>
      <c r="E9" s="91"/>
      <c r="F9" s="91"/>
      <c r="G9" s="91"/>
      <c r="H9" s="91"/>
      <c r="I9" s="119"/>
      <c r="J9" s="31"/>
    </row>
    <row r="10" spans="1:10" ht="12.75">
      <c r="A10" s="111" t="s">
        <v>4</v>
      </c>
      <c r="B10" s="91"/>
      <c r="C10" s="90" t="str">
        <f>'Stavební rozpočet'!C8</f>
        <v> </v>
      </c>
      <c r="D10" s="91"/>
      <c r="E10" s="90" t="s">
        <v>761</v>
      </c>
      <c r="F10" s="90" t="str">
        <f>'Stavební rozpočet'!I8</f>
        <v>Pejchalová</v>
      </c>
      <c r="G10" s="91"/>
      <c r="H10" s="114" t="s">
        <v>872</v>
      </c>
      <c r="I10" s="115" t="str">
        <f>'Stavební rozpočet'!F8</f>
        <v>22.09.2019</v>
      </c>
      <c r="J10" s="31"/>
    </row>
    <row r="11" spans="1:10" ht="12.75">
      <c r="A11" s="112"/>
      <c r="B11" s="113"/>
      <c r="C11" s="113"/>
      <c r="D11" s="113"/>
      <c r="E11" s="113"/>
      <c r="F11" s="113"/>
      <c r="G11" s="113"/>
      <c r="H11" s="113"/>
      <c r="I11" s="116"/>
      <c r="J11" s="31"/>
    </row>
    <row r="12" spans="1:9" ht="18.75" customHeight="1">
      <c r="A12" s="107" t="s">
        <v>831</v>
      </c>
      <c r="B12" s="108"/>
      <c r="C12" s="108"/>
      <c r="D12" s="108"/>
      <c r="E12" s="108"/>
      <c r="F12" s="108"/>
      <c r="G12" s="108"/>
      <c r="H12" s="108"/>
      <c r="I12" s="108"/>
    </row>
    <row r="13" spans="1:10" ht="26.25" customHeight="1">
      <c r="A13" s="45" t="s">
        <v>832</v>
      </c>
      <c r="B13" s="109" t="s">
        <v>844</v>
      </c>
      <c r="C13" s="110"/>
      <c r="D13" s="45" t="s">
        <v>847</v>
      </c>
      <c r="E13" s="109" t="s">
        <v>856</v>
      </c>
      <c r="F13" s="110"/>
      <c r="G13" s="45" t="s">
        <v>857</v>
      </c>
      <c r="H13" s="109" t="s">
        <v>873</v>
      </c>
      <c r="I13" s="110"/>
      <c r="J13" s="31"/>
    </row>
    <row r="14" spans="1:10" ht="12.75" customHeight="1">
      <c r="A14" s="46" t="s">
        <v>833</v>
      </c>
      <c r="B14" s="50" t="s">
        <v>845</v>
      </c>
      <c r="C14" s="54">
        <f>SUM('Stavební rozpočet'!AB12:AB500)</f>
        <v>0</v>
      </c>
      <c r="D14" s="105" t="s">
        <v>848</v>
      </c>
      <c r="E14" s="106"/>
      <c r="F14" s="54">
        <v>0</v>
      </c>
      <c r="G14" s="105" t="s">
        <v>733</v>
      </c>
      <c r="H14" s="106"/>
      <c r="I14" s="54">
        <v>0</v>
      </c>
      <c r="J14" s="31"/>
    </row>
    <row r="15" spans="1:10" ht="12.75" customHeight="1">
      <c r="A15" s="47"/>
      <c r="B15" s="50" t="s">
        <v>771</v>
      </c>
      <c r="C15" s="54">
        <f>SUM('Stavební rozpočet'!AC12:AC500)</f>
        <v>0</v>
      </c>
      <c r="D15" s="105" t="s">
        <v>849</v>
      </c>
      <c r="E15" s="106"/>
      <c r="F15" s="54">
        <v>0</v>
      </c>
      <c r="G15" s="105" t="s">
        <v>858</v>
      </c>
      <c r="H15" s="106"/>
      <c r="I15" s="54">
        <v>0</v>
      </c>
      <c r="J15" s="31"/>
    </row>
    <row r="16" spans="1:10" ht="12.75" customHeight="1">
      <c r="A16" s="46" t="s">
        <v>834</v>
      </c>
      <c r="B16" s="50" t="s">
        <v>845</v>
      </c>
      <c r="C16" s="54">
        <f>SUM('Stavební rozpočet'!AD12:AD500)</f>
        <v>0</v>
      </c>
      <c r="D16" s="105" t="s">
        <v>850</v>
      </c>
      <c r="E16" s="106"/>
      <c r="F16" s="54">
        <v>0</v>
      </c>
      <c r="G16" s="105" t="s">
        <v>859</v>
      </c>
      <c r="H16" s="106"/>
      <c r="I16" s="54">
        <v>0</v>
      </c>
      <c r="J16" s="31"/>
    </row>
    <row r="17" spans="1:10" ht="12.75" customHeight="1">
      <c r="A17" s="47"/>
      <c r="B17" s="50" t="s">
        <v>771</v>
      </c>
      <c r="C17" s="54">
        <f>SUM('Stavební rozpočet'!AE12:AE500)</f>
        <v>0</v>
      </c>
      <c r="D17" s="105"/>
      <c r="E17" s="106"/>
      <c r="F17" s="55"/>
      <c r="G17" s="105" t="s">
        <v>860</v>
      </c>
      <c r="H17" s="106"/>
      <c r="I17" s="54">
        <v>0</v>
      </c>
      <c r="J17" s="31"/>
    </row>
    <row r="18" spans="1:10" ht="12.75" customHeight="1">
      <c r="A18" s="46" t="s">
        <v>835</v>
      </c>
      <c r="B18" s="50" t="s">
        <v>845</v>
      </c>
      <c r="C18" s="54">
        <f>SUM('Stavební rozpočet'!AF12:AF500)</f>
        <v>0</v>
      </c>
      <c r="D18" s="105"/>
      <c r="E18" s="106"/>
      <c r="F18" s="55"/>
      <c r="G18" s="105" t="s">
        <v>861</v>
      </c>
      <c r="H18" s="106"/>
      <c r="I18" s="54">
        <v>0</v>
      </c>
      <c r="J18" s="31"/>
    </row>
    <row r="19" spans="1:10" ht="12.75" customHeight="1">
      <c r="A19" s="47"/>
      <c r="B19" s="50" t="s">
        <v>771</v>
      </c>
      <c r="C19" s="54">
        <f>SUM('Stavební rozpočet'!AG12:AG500)</f>
        <v>0</v>
      </c>
      <c r="D19" s="105"/>
      <c r="E19" s="106"/>
      <c r="F19" s="55"/>
      <c r="G19" s="105" t="s">
        <v>862</v>
      </c>
      <c r="H19" s="106"/>
      <c r="I19" s="54">
        <v>0</v>
      </c>
      <c r="J19" s="31"/>
    </row>
    <row r="20" spans="1:10" ht="12.75" customHeight="1">
      <c r="A20" s="103" t="s">
        <v>836</v>
      </c>
      <c r="B20" s="104"/>
      <c r="C20" s="54">
        <f>SUM('Stavební rozpočet'!AH12:AH500)</f>
        <v>0</v>
      </c>
      <c r="D20" s="105"/>
      <c r="E20" s="106"/>
      <c r="F20" s="55"/>
      <c r="G20" s="105"/>
      <c r="H20" s="106"/>
      <c r="I20" s="55"/>
      <c r="J20" s="31"/>
    </row>
    <row r="21" spans="1:10" ht="12.75" customHeight="1">
      <c r="A21" s="103" t="s">
        <v>837</v>
      </c>
      <c r="B21" s="104"/>
      <c r="C21" s="54">
        <f>SUM('Stavební rozpočet'!Z12:Z500)</f>
        <v>0</v>
      </c>
      <c r="D21" s="105"/>
      <c r="E21" s="106"/>
      <c r="F21" s="55"/>
      <c r="G21" s="105"/>
      <c r="H21" s="106"/>
      <c r="I21" s="55"/>
      <c r="J21" s="31"/>
    </row>
    <row r="22" spans="1:10" ht="16.5" customHeight="1">
      <c r="A22" s="103" t="s">
        <v>838</v>
      </c>
      <c r="B22" s="104"/>
      <c r="C22" s="54">
        <f>SUM(C14:C21)</f>
        <v>0</v>
      </c>
      <c r="D22" s="103" t="s">
        <v>851</v>
      </c>
      <c r="E22" s="104"/>
      <c r="F22" s="54">
        <f>SUM(F14:F21)</f>
        <v>0</v>
      </c>
      <c r="G22" s="103" t="s">
        <v>863</v>
      </c>
      <c r="H22" s="104"/>
      <c r="I22" s="54">
        <f>SUM(I14:I21)</f>
        <v>0</v>
      </c>
      <c r="J22" s="31"/>
    </row>
    <row r="23" spans="1:10" ht="12.75" customHeight="1">
      <c r="A23" s="8"/>
      <c r="B23" s="8"/>
      <c r="C23" s="52"/>
      <c r="D23" s="103" t="s">
        <v>852</v>
      </c>
      <c r="E23" s="104"/>
      <c r="F23" s="56">
        <v>0</v>
      </c>
      <c r="G23" s="103" t="s">
        <v>864</v>
      </c>
      <c r="H23" s="104"/>
      <c r="I23" s="54">
        <v>0</v>
      </c>
      <c r="J23" s="31"/>
    </row>
    <row r="24" spans="4:9" ht="12.75" customHeight="1">
      <c r="D24" s="8"/>
      <c r="E24" s="8"/>
      <c r="F24" s="57"/>
      <c r="G24" s="103" t="s">
        <v>865</v>
      </c>
      <c r="H24" s="104"/>
      <c r="I24" s="59"/>
    </row>
    <row r="25" spans="6:10" ht="12.75" customHeight="1">
      <c r="F25" s="58"/>
      <c r="G25" s="103" t="s">
        <v>866</v>
      </c>
      <c r="H25" s="104"/>
      <c r="I25" s="54">
        <v>0</v>
      </c>
      <c r="J25" s="31"/>
    </row>
    <row r="26" spans="1:9" ht="12.75">
      <c r="A26" s="7"/>
      <c r="B26" s="7"/>
      <c r="C26" s="7"/>
      <c r="G26" s="8"/>
      <c r="H26" s="8"/>
      <c r="I26" s="8"/>
    </row>
    <row r="27" spans="1:9" ht="12.75" customHeight="1">
      <c r="A27" s="98" t="s">
        <v>839</v>
      </c>
      <c r="B27" s="99"/>
      <c r="C27" s="60">
        <f>SUM('Stavební rozpočet'!AJ12:AJ500)</f>
        <v>0</v>
      </c>
      <c r="D27" s="53"/>
      <c r="E27" s="7"/>
      <c r="F27" s="7"/>
      <c r="G27" s="7"/>
      <c r="H27" s="7"/>
      <c r="I27" s="7"/>
    </row>
    <row r="28" spans="1:10" ht="12.75" customHeight="1">
      <c r="A28" s="98" t="s">
        <v>840</v>
      </c>
      <c r="B28" s="99"/>
      <c r="C28" s="60">
        <f>SUM('Stavební rozpočet'!AK12:AK500)+(F22+I22+F23+I23+I24+I25)</f>
        <v>0</v>
      </c>
      <c r="D28" s="98" t="s">
        <v>853</v>
      </c>
      <c r="E28" s="99"/>
      <c r="F28" s="60">
        <f>ROUND(C28*(15/100),2)</f>
        <v>0</v>
      </c>
      <c r="G28" s="98" t="s">
        <v>867</v>
      </c>
      <c r="H28" s="99"/>
      <c r="I28" s="60">
        <f>SUM(C27:C29)</f>
        <v>0</v>
      </c>
      <c r="J28" s="31"/>
    </row>
    <row r="29" spans="1:10" ht="12.75" customHeight="1">
      <c r="A29" s="98" t="s">
        <v>841</v>
      </c>
      <c r="B29" s="99"/>
      <c r="C29" s="60">
        <f>SUM('Stavební rozpočet'!AL12:AL500)</f>
        <v>0</v>
      </c>
      <c r="D29" s="98" t="s">
        <v>854</v>
      </c>
      <c r="E29" s="99"/>
      <c r="F29" s="60">
        <f>ROUND(C29*(21/100),2)</f>
        <v>0</v>
      </c>
      <c r="G29" s="98" t="s">
        <v>868</v>
      </c>
      <c r="H29" s="99"/>
      <c r="I29" s="60">
        <f>SUM(F28:F29)+I28</f>
        <v>0</v>
      </c>
      <c r="J29" s="31"/>
    </row>
    <row r="30" spans="1:9" ht="12.75">
      <c r="A30" s="48"/>
      <c r="B30" s="48"/>
      <c r="C30" s="48"/>
      <c r="D30" s="48"/>
      <c r="E30" s="48"/>
      <c r="F30" s="48"/>
      <c r="G30" s="48"/>
      <c r="H30" s="48"/>
      <c r="I30" s="48"/>
    </row>
    <row r="31" spans="1:10" ht="12.75" customHeight="1">
      <c r="A31" s="100" t="s">
        <v>842</v>
      </c>
      <c r="B31" s="101"/>
      <c r="C31" s="102"/>
      <c r="D31" s="100" t="s">
        <v>855</v>
      </c>
      <c r="E31" s="101"/>
      <c r="F31" s="102"/>
      <c r="G31" s="100" t="s">
        <v>869</v>
      </c>
      <c r="H31" s="101"/>
      <c r="I31" s="102"/>
      <c r="J31" s="32"/>
    </row>
    <row r="32" spans="1:10" ht="12.75" customHeight="1">
      <c r="A32" s="92"/>
      <c r="B32" s="93"/>
      <c r="C32" s="94"/>
      <c r="D32" s="92"/>
      <c r="E32" s="93"/>
      <c r="F32" s="94"/>
      <c r="G32" s="92"/>
      <c r="H32" s="93"/>
      <c r="I32" s="94"/>
      <c r="J32" s="32"/>
    </row>
    <row r="33" spans="1:10" ht="12.75" customHeight="1">
      <c r="A33" s="92"/>
      <c r="B33" s="93"/>
      <c r="C33" s="94"/>
      <c r="D33" s="92"/>
      <c r="E33" s="93"/>
      <c r="F33" s="94"/>
      <c r="G33" s="92"/>
      <c r="H33" s="93"/>
      <c r="I33" s="94"/>
      <c r="J33" s="32"/>
    </row>
    <row r="34" spans="1:10" ht="12.75" customHeight="1">
      <c r="A34" s="92"/>
      <c r="B34" s="93"/>
      <c r="C34" s="94"/>
      <c r="D34" s="92"/>
      <c r="E34" s="93"/>
      <c r="F34" s="94"/>
      <c r="G34" s="92"/>
      <c r="H34" s="93"/>
      <c r="I34" s="94"/>
      <c r="J34" s="32"/>
    </row>
    <row r="35" spans="1:10" ht="12.75" customHeight="1">
      <c r="A35" s="95" t="s">
        <v>843</v>
      </c>
      <c r="B35" s="96"/>
      <c r="C35" s="97"/>
      <c r="D35" s="95" t="s">
        <v>843</v>
      </c>
      <c r="E35" s="96"/>
      <c r="F35" s="97"/>
      <c r="G35" s="95" t="s">
        <v>843</v>
      </c>
      <c r="H35" s="96"/>
      <c r="I35" s="97"/>
      <c r="J35" s="32"/>
    </row>
    <row r="36" spans="1:9" ht="10.5" customHeight="1">
      <c r="A36" s="49" t="s">
        <v>196</v>
      </c>
      <c r="B36" s="51"/>
      <c r="C36" s="51"/>
      <c r="D36" s="51"/>
      <c r="E36" s="51"/>
      <c r="F36" s="51"/>
      <c r="G36" s="51"/>
      <c r="H36" s="51"/>
      <c r="I36" s="51"/>
    </row>
    <row r="37" spans="1:9" ht="153.75" customHeight="1">
      <c r="A37" s="90" t="s">
        <v>197</v>
      </c>
      <c r="B37" s="91"/>
      <c r="C37" s="91"/>
      <c r="D37" s="91"/>
      <c r="E37" s="91"/>
      <c r="F37" s="91"/>
      <c r="G37" s="91"/>
      <c r="H37" s="91"/>
      <c r="I37" s="91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12.140625" style="0" customWidth="1"/>
    <col min="5" max="5" width="22.28125" style="0" customWidth="1"/>
    <col min="6" max="6" width="21.00390625" style="0" customWidth="1"/>
    <col min="7" max="7" width="20.7109375" style="0" customWidth="1"/>
    <col min="8" max="9" width="0" style="0" hidden="1" customWidth="1"/>
  </cols>
  <sheetData>
    <row r="1" spans="1:7" ht="72.75" customHeight="1">
      <c r="A1" s="137" t="s">
        <v>824</v>
      </c>
      <c r="B1" s="121"/>
      <c r="C1" s="121"/>
      <c r="D1" s="121"/>
      <c r="E1" s="121"/>
      <c r="F1" s="121"/>
      <c r="G1" s="121"/>
    </row>
    <row r="2" spans="1:8" ht="12.75">
      <c r="A2" s="122" t="s">
        <v>1</v>
      </c>
      <c r="B2" s="124" t="str">
        <f>'Stavební rozpočet'!C2</f>
        <v>NZM Praha úprava bytu 1+1/1.PP</v>
      </c>
      <c r="C2" s="125"/>
      <c r="D2" s="127" t="s">
        <v>758</v>
      </c>
      <c r="E2" s="127" t="str">
        <f>'Stavební rozpočet'!I2</f>
        <v>Národní zemědělské muzeum s.p.o Praha</v>
      </c>
      <c r="F2" s="123"/>
      <c r="G2" s="138"/>
      <c r="H2" s="31"/>
    </row>
    <row r="3" spans="1:8" ht="12.75" customHeight="1">
      <c r="A3" s="117"/>
      <c r="B3" s="126"/>
      <c r="C3" s="126"/>
      <c r="D3" s="91"/>
      <c r="E3" s="91"/>
      <c r="F3" s="91"/>
      <c r="G3" s="119"/>
      <c r="H3" s="31"/>
    </row>
    <row r="4" spans="1:8" ht="12.75">
      <c r="A4" s="111" t="s">
        <v>2</v>
      </c>
      <c r="B4" s="90" t="str">
        <f>'Stavební rozpočet'!C4</f>
        <v>rekonstrukce, stavební část</v>
      </c>
      <c r="C4" s="91"/>
      <c r="D4" s="90" t="s">
        <v>759</v>
      </c>
      <c r="E4" s="90" t="str">
        <f>'Stavební rozpočet'!I4</f>
        <v>Ing arch. M. Vajtr, Praha</v>
      </c>
      <c r="F4" s="91"/>
      <c r="G4" s="119"/>
      <c r="H4" s="31"/>
    </row>
    <row r="5" spans="1:8" ht="12.75" customHeight="1">
      <c r="A5" s="117"/>
      <c r="B5" s="91"/>
      <c r="C5" s="91"/>
      <c r="D5" s="91"/>
      <c r="E5" s="91"/>
      <c r="F5" s="91"/>
      <c r="G5" s="119"/>
      <c r="H5" s="31"/>
    </row>
    <row r="6" spans="1:8" ht="12.75">
      <c r="A6" s="111" t="s">
        <v>3</v>
      </c>
      <c r="B6" s="90" t="str">
        <f>'Stavební rozpočet'!C6</f>
        <v>Praha</v>
      </c>
      <c r="C6" s="91"/>
      <c r="D6" s="90" t="s">
        <v>760</v>
      </c>
      <c r="E6" s="90" t="str">
        <f>'Stavební rozpočet'!I6</f>
        <v> </v>
      </c>
      <c r="F6" s="91"/>
      <c r="G6" s="119"/>
      <c r="H6" s="31"/>
    </row>
    <row r="7" spans="1:8" ht="12.75" customHeight="1">
      <c r="A7" s="117"/>
      <c r="B7" s="91"/>
      <c r="C7" s="91"/>
      <c r="D7" s="91"/>
      <c r="E7" s="91"/>
      <c r="F7" s="91"/>
      <c r="G7" s="119"/>
      <c r="H7" s="31"/>
    </row>
    <row r="8" spans="1:8" ht="12.75">
      <c r="A8" s="111" t="s">
        <v>761</v>
      </c>
      <c r="B8" s="90" t="str">
        <f>'Stavební rozpočet'!I8</f>
        <v>Pejchalová</v>
      </c>
      <c r="C8" s="91"/>
      <c r="D8" s="114" t="s">
        <v>744</v>
      </c>
      <c r="E8" s="90" t="str">
        <f>'Stavební rozpočet'!F8</f>
        <v>22.09.2019</v>
      </c>
      <c r="F8" s="91"/>
      <c r="G8" s="119"/>
      <c r="H8" s="31"/>
    </row>
    <row r="9" spans="1:8" ht="12.75">
      <c r="A9" s="134"/>
      <c r="B9" s="135"/>
      <c r="C9" s="135"/>
      <c r="D9" s="135"/>
      <c r="E9" s="135"/>
      <c r="F9" s="135"/>
      <c r="G9" s="136"/>
      <c r="H9" s="31"/>
    </row>
    <row r="10" spans="1:8" ht="12.75">
      <c r="A10" s="38" t="s">
        <v>825</v>
      </c>
      <c r="B10" s="40" t="s">
        <v>198</v>
      </c>
      <c r="C10" s="129" t="s">
        <v>826</v>
      </c>
      <c r="D10" s="130"/>
      <c r="E10" s="41" t="s">
        <v>827</v>
      </c>
      <c r="F10" s="41" t="s">
        <v>828</v>
      </c>
      <c r="G10" s="41" t="s">
        <v>829</v>
      </c>
      <c r="H10" s="31"/>
    </row>
    <row r="11" spans="1:9" ht="12.75">
      <c r="A11" s="39"/>
      <c r="B11" s="39" t="s">
        <v>40</v>
      </c>
      <c r="C11" s="131" t="s">
        <v>376</v>
      </c>
      <c r="D11" s="132"/>
      <c r="E11" s="43">
        <f>'Stavební rozpočet'!I12</f>
        <v>0</v>
      </c>
      <c r="F11" s="43">
        <f>'Stavební rozpočet'!J12</f>
        <v>0</v>
      </c>
      <c r="G11" s="43">
        <f>'Stavební rozpočet'!K12</f>
        <v>0</v>
      </c>
      <c r="H11" s="33" t="s">
        <v>830</v>
      </c>
      <c r="I11" s="33">
        <f aca="true" t="shared" si="0" ref="I11:I35">IF(H11="F",0,G11)</f>
        <v>0</v>
      </c>
    </row>
    <row r="12" spans="1:9" ht="12.75">
      <c r="A12" s="14"/>
      <c r="B12" s="14" t="s">
        <v>47</v>
      </c>
      <c r="C12" s="114" t="s">
        <v>390</v>
      </c>
      <c r="D12" s="91"/>
      <c r="E12" s="33">
        <f>'Stavební rozpočet'!I27</f>
        <v>0</v>
      </c>
      <c r="F12" s="33">
        <f>'Stavební rozpočet'!J27</f>
        <v>0</v>
      </c>
      <c r="G12" s="33">
        <f>'Stavební rozpočet'!K27</f>
        <v>0</v>
      </c>
      <c r="H12" s="33" t="s">
        <v>830</v>
      </c>
      <c r="I12" s="33">
        <f t="shared" si="0"/>
        <v>0</v>
      </c>
    </row>
    <row r="13" spans="1:9" ht="12.75">
      <c r="A13" s="14"/>
      <c r="B13" s="14" t="s">
        <v>67</v>
      </c>
      <c r="C13" s="114" t="s">
        <v>395</v>
      </c>
      <c r="D13" s="91"/>
      <c r="E13" s="33">
        <f>'Stavební rozpočet'!I32</f>
        <v>0</v>
      </c>
      <c r="F13" s="33">
        <f>'Stavební rozpočet'!J32</f>
        <v>0</v>
      </c>
      <c r="G13" s="33">
        <f>'Stavební rozpočet'!K32</f>
        <v>0</v>
      </c>
      <c r="H13" s="33" t="s">
        <v>830</v>
      </c>
      <c r="I13" s="33">
        <f t="shared" si="0"/>
        <v>0</v>
      </c>
    </row>
    <row r="14" spans="1:9" ht="12.75">
      <c r="A14" s="14"/>
      <c r="B14" s="14" t="s">
        <v>69</v>
      </c>
      <c r="C14" s="114" t="s">
        <v>412</v>
      </c>
      <c r="D14" s="91"/>
      <c r="E14" s="33">
        <f>'Stavební rozpočet'!I52</f>
        <v>0</v>
      </c>
      <c r="F14" s="33">
        <f>'Stavební rozpočet'!J52</f>
        <v>0</v>
      </c>
      <c r="G14" s="33">
        <f>'Stavební rozpočet'!K52</f>
        <v>0</v>
      </c>
      <c r="H14" s="33" t="s">
        <v>830</v>
      </c>
      <c r="I14" s="33">
        <f t="shared" si="0"/>
        <v>0</v>
      </c>
    </row>
    <row r="15" spans="1:9" ht="12.75">
      <c r="A15" s="14"/>
      <c r="B15" s="14" t="s">
        <v>70</v>
      </c>
      <c r="C15" s="114" t="s">
        <v>424</v>
      </c>
      <c r="D15" s="91"/>
      <c r="E15" s="33">
        <f>'Stavební rozpočet'!I64</f>
        <v>0</v>
      </c>
      <c r="F15" s="33">
        <f>'Stavební rozpočet'!J64</f>
        <v>0</v>
      </c>
      <c r="G15" s="33">
        <f>'Stavební rozpočet'!K64</f>
        <v>0</v>
      </c>
      <c r="H15" s="33" t="s">
        <v>830</v>
      </c>
      <c r="I15" s="33">
        <f t="shared" si="0"/>
        <v>0</v>
      </c>
    </row>
    <row r="16" spans="1:9" ht="12.75">
      <c r="A16" s="14"/>
      <c r="B16" s="14" t="s">
        <v>215</v>
      </c>
      <c r="C16" s="114" t="s">
        <v>427</v>
      </c>
      <c r="D16" s="91"/>
      <c r="E16" s="33">
        <f>'Stavební rozpočet'!I68</f>
        <v>0</v>
      </c>
      <c r="F16" s="33">
        <f>'Stavební rozpočet'!J68</f>
        <v>0</v>
      </c>
      <c r="G16" s="33">
        <f>'Stavební rozpočet'!K68</f>
        <v>0</v>
      </c>
      <c r="H16" s="33" t="s">
        <v>830</v>
      </c>
      <c r="I16" s="33">
        <f t="shared" si="0"/>
        <v>0</v>
      </c>
    </row>
    <row r="17" spans="1:9" ht="12.75">
      <c r="A17" s="14"/>
      <c r="B17" s="14" t="s">
        <v>217</v>
      </c>
      <c r="C17" s="114" t="s">
        <v>430</v>
      </c>
      <c r="D17" s="91"/>
      <c r="E17" s="33">
        <f>'Stavební rozpočet'!I71</f>
        <v>0</v>
      </c>
      <c r="F17" s="33">
        <f>'Stavební rozpočet'!J71</f>
        <v>0</v>
      </c>
      <c r="G17" s="33">
        <f>'Stavební rozpočet'!K71</f>
        <v>0</v>
      </c>
      <c r="H17" s="33" t="s">
        <v>830</v>
      </c>
      <c r="I17" s="33">
        <f t="shared" si="0"/>
        <v>0</v>
      </c>
    </row>
    <row r="18" spans="1:9" ht="12.75">
      <c r="A18" s="14"/>
      <c r="B18" s="14" t="s">
        <v>219</v>
      </c>
      <c r="C18" s="114" t="s">
        <v>432</v>
      </c>
      <c r="D18" s="91"/>
      <c r="E18" s="33">
        <f>'Stavební rozpočet'!I74</f>
        <v>0</v>
      </c>
      <c r="F18" s="33">
        <f>'Stavební rozpočet'!J74</f>
        <v>0</v>
      </c>
      <c r="G18" s="33">
        <f>'Stavební rozpočet'!K74</f>
        <v>0</v>
      </c>
      <c r="H18" s="33" t="s">
        <v>830</v>
      </c>
      <c r="I18" s="33">
        <f t="shared" si="0"/>
        <v>0</v>
      </c>
    </row>
    <row r="19" spans="1:9" ht="12.75">
      <c r="A19" s="14"/>
      <c r="B19" s="14" t="s">
        <v>221</v>
      </c>
      <c r="C19" s="114" t="s">
        <v>434</v>
      </c>
      <c r="D19" s="91"/>
      <c r="E19" s="33">
        <f>'Stavební rozpočet'!I77</f>
        <v>0</v>
      </c>
      <c r="F19" s="33">
        <f>'Stavební rozpočet'!J77</f>
        <v>0</v>
      </c>
      <c r="G19" s="33">
        <f>'Stavební rozpočet'!K77</f>
        <v>0</v>
      </c>
      <c r="H19" s="33" t="s">
        <v>830</v>
      </c>
      <c r="I19" s="33">
        <f t="shared" si="0"/>
        <v>0</v>
      </c>
    </row>
    <row r="20" spans="1:9" ht="12.75">
      <c r="A20" s="14"/>
      <c r="B20" s="14" t="s">
        <v>236</v>
      </c>
      <c r="C20" s="114" t="s">
        <v>453</v>
      </c>
      <c r="D20" s="91"/>
      <c r="E20" s="33">
        <f>'Stavební rozpočet'!I105</f>
        <v>0</v>
      </c>
      <c r="F20" s="33">
        <f>'Stavební rozpočet'!J105</f>
        <v>0</v>
      </c>
      <c r="G20" s="33">
        <f>'Stavební rozpočet'!K105</f>
        <v>0</v>
      </c>
      <c r="H20" s="33" t="s">
        <v>830</v>
      </c>
      <c r="I20" s="33">
        <f t="shared" si="0"/>
        <v>0</v>
      </c>
    </row>
    <row r="21" spans="1:9" ht="12.75">
      <c r="A21" s="14"/>
      <c r="B21" s="14" t="s">
        <v>238</v>
      </c>
      <c r="C21" s="114" t="s">
        <v>455</v>
      </c>
      <c r="D21" s="91"/>
      <c r="E21" s="33">
        <f>'Stavební rozpočet'!I109</f>
        <v>0</v>
      </c>
      <c r="F21" s="33">
        <f>'Stavební rozpočet'!J109</f>
        <v>0</v>
      </c>
      <c r="G21" s="33">
        <f>'Stavební rozpočet'!K109</f>
        <v>0</v>
      </c>
      <c r="H21" s="33" t="s">
        <v>830</v>
      </c>
      <c r="I21" s="33">
        <f t="shared" si="0"/>
        <v>0</v>
      </c>
    </row>
    <row r="22" spans="1:9" ht="12.75">
      <c r="A22" s="14"/>
      <c r="B22" s="14" t="s">
        <v>244</v>
      </c>
      <c r="C22" s="114" t="s">
        <v>503</v>
      </c>
      <c r="D22" s="91"/>
      <c r="E22" s="33">
        <f>'Stavební rozpočet'!I181</f>
        <v>0</v>
      </c>
      <c r="F22" s="33">
        <f>'Stavební rozpočet'!J181</f>
        <v>0</v>
      </c>
      <c r="G22" s="33">
        <f>'Stavební rozpočet'!K181</f>
        <v>0</v>
      </c>
      <c r="H22" s="33" t="s">
        <v>830</v>
      </c>
      <c r="I22" s="33">
        <f t="shared" si="0"/>
        <v>0</v>
      </c>
    </row>
    <row r="23" spans="1:9" ht="12.75">
      <c r="A23" s="14"/>
      <c r="B23" s="14" t="s">
        <v>248</v>
      </c>
      <c r="C23" s="114" t="s">
        <v>507</v>
      </c>
      <c r="D23" s="91"/>
      <c r="E23" s="33">
        <f>'Stavební rozpočet'!I186</f>
        <v>0</v>
      </c>
      <c r="F23" s="33">
        <f>'Stavební rozpočet'!J186</f>
        <v>0</v>
      </c>
      <c r="G23" s="33">
        <f>'Stavební rozpočet'!K186</f>
        <v>0</v>
      </c>
      <c r="H23" s="33" t="s">
        <v>830</v>
      </c>
      <c r="I23" s="33">
        <f t="shared" si="0"/>
        <v>0</v>
      </c>
    </row>
    <row r="24" spans="1:9" ht="12.75">
      <c r="A24" s="14"/>
      <c r="B24" s="14" t="s">
        <v>257</v>
      </c>
      <c r="C24" s="114" t="s">
        <v>531</v>
      </c>
      <c r="D24" s="91"/>
      <c r="E24" s="33">
        <f>'Stavební rozpočet'!I215</f>
        <v>0</v>
      </c>
      <c r="F24" s="33">
        <f>'Stavební rozpočet'!J215</f>
        <v>0</v>
      </c>
      <c r="G24" s="33">
        <f>'Stavební rozpočet'!K215</f>
        <v>0</v>
      </c>
      <c r="H24" s="33" t="s">
        <v>830</v>
      </c>
      <c r="I24" s="33">
        <f t="shared" si="0"/>
        <v>0</v>
      </c>
    </row>
    <row r="25" spans="1:9" ht="12.75">
      <c r="A25" s="14"/>
      <c r="B25" s="14" t="s">
        <v>265</v>
      </c>
      <c r="C25" s="114" t="s">
        <v>545</v>
      </c>
      <c r="D25" s="91"/>
      <c r="E25" s="33">
        <f>'Stavební rozpočet'!I236</f>
        <v>0</v>
      </c>
      <c r="F25" s="33">
        <f>'Stavební rozpočet'!J236</f>
        <v>0</v>
      </c>
      <c r="G25" s="33">
        <f>'Stavební rozpočet'!K236</f>
        <v>0</v>
      </c>
      <c r="H25" s="33" t="s">
        <v>830</v>
      </c>
      <c r="I25" s="33">
        <f t="shared" si="0"/>
        <v>0</v>
      </c>
    </row>
    <row r="26" spans="1:9" ht="12.75">
      <c r="A26" s="14"/>
      <c r="B26" s="14" t="s">
        <v>272</v>
      </c>
      <c r="C26" s="114" t="s">
        <v>569</v>
      </c>
      <c r="D26" s="91"/>
      <c r="E26" s="33">
        <f>'Stavební rozpočet'!I261</f>
        <v>0</v>
      </c>
      <c r="F26" s="33">
        <f>'Stavební rozpočet'!J261</f>
        <v>0</v>
      </c>
      <c r="G26" s="33">
        <f>'Stavební rozpočet'!K261</f>
        <v>0</v>
      </c>
      <c r="H26" s="33" t="s">
        <v>830</v>
      </c>
      <c r="I26" s="33">
        <f t="shared" si="0"/>
        <v>0</v>
      </c>
    </row>
    <row r="27" spans="1:9" ht="12.75">
      <c r="A27" s="14"/>
      <c r="B27" s="14" t="s">
        <v>96</v>
      </c>
      <c r="C27" s="114" t="s">
        <v>580</v>
      </c>
      <c r="D27" s="91"/>
      <c r="E27" s="33">
        <f>'Stavební rozpočet'!I274</f>
        <v>0</v>
      </c>
      <c r="F27" s="33">
        <f>'Stavební rozpočet'!J274</f>
        <v>0</v>
      </c>
      <c r="G27" s="33">
        <f>'Stavební rozpočet'!K274</f>
        <v>0</v>
      </c>
      <c r="H27" s="33" t="s">
        <v>830</v>
      </c>
      <c r="I27" s="33">
        <f t="shared" si="0"/>
        <v>0</v>
      </c>
    </row>
    <row r="28" spans="1:9" ht="12.75">
      <c r="A28" s="14"/>
      <c r="B28" s="14" t="s">
        <v>100</v>
      </c>
      <c r="C28" s="114" t="s">
        <v>597</v>
      </c>
      <c r="D28" s="91"/>
      <c r="E28" s="33">
        <f>'Stavební rozpočet'!I299</f>
        <v>0</v>
      </c>
      <c r="F28" s="33">
        <f>'Stavební rozpočet'!J299</f>
        <v>0</v>
      </c>
      <c r="G28" s="33">
        <f>'Stavební rozpočet'!K299</f>
        <v>0</v>
      </c>
      <c r="H28" s="33" t="s">
        <v>830</v>
      </c>
      <c r="I28" s="33">
        <f t="shared" si="0"/>
        <v>0</v>
      </c>
    </row>
    <row r="29" spans="1:9" ht="12.75">
      <c r="A29" s="14"/>
      <c r="B29" s="14" t="s">
        <v>101</v>
      </c>
      <c r="C29" s="114" t="s">
        <v>600</v>
      </c>
      <c r="D29" s="91"/>
      <c r="E29" s="33">
        <f>'Stavební rozpočet'!I302</f>
        <v>0</v>
      </c>
      <c r="F29" s="33">
        <f>'Stavební rozpočet'!J302</f>
        <v>0</v>
      </c>
      <c r="G29" s="33">
        <f>'Stavební rozpočet'!K302</f>
        <v>0</v>
      </c>
      <c r="H29" s="33" t="s">
        <v>830</v>
      </c>
      <c r="I29" s="33">
        <f t="shared" si="0"/>
        <v>0</v>
      </c>
    </row>
    <row r="30" spans="1:9" ht="12.75">
      <c r="A30" s="14"/>
      <c r="B30" s="14" t="s">
        <v>102</v>
      </c>
      <c r="C30" s="114" t="s">
        <v>609</v>
      </c>
      <c r="D30" s="91"/>
      <c r="E30" s="33">
        <f>'Stavební rozpočet'!I316</f>
        <v>0</v>
      </c>
      <c r="F30" s="33">
        <f>'Stavební rozpočet'!J316</f>
        <v>0</v>
      </c>
      <c r="G30" s="33">
        <f>'Stavební rozpočet'!K316</f>
        <v>0</v>
      </c>
      <c r="H30" s="33" t="s">
        <v>830</v>
      </c>
      <c r="I30" s="33">
        <f t="shared" si="0"/>
        <v>0</v>
      </c>
    </row>
    <row r="31" spans="1:9" ht="12.75">
      <c r="A31" s="14"/>
      <c r="B31" s="14" t="s">
        <v>307</v>
      </c>
      <c r="C31" s="114" t="s">
        <v>643</v>
      </c>
      <c r="D31" s="91"/>
      <c r="E31" s="33">
        <f>'Stavební rozpočet'!I360</f>
        <v>0</v>
      </c>
      <c r="F31" s="33">
        <f>'Stavební rozpočet'!J360</f>
        <v>0</v>
      </c>
      <c r="G31" s="33">
        <f>'Stavební rozpočet'!K360</f>
        <v>0</v>
      </c>
      <c r="H31" s="33" t="s">
        <v>830</v>
      </c>
      <c r="I31" s="33">
        <f t="shared" si="0"/>
        <v>0</v>
      </c>
    </row>
    <row r="32" spans="1:9" ht="12.75">
      <c r="A32" s="14"/>
      <c r="B32" s="14" t="s">
        <v>321</v>
      </c>
      <c r="C32" s="114" t="s">
        <v>668</v>
      </c>
      <c r="D32" s="91"/>
      <c r="E32" s="33">
        <f>'Stavební rozpočet'!I389</f>
        <v>0</v>
      </c>
      <c r="F32" s="33">
        <f>'Stavební rozpočet'!J389</f>
        <v>0</v>
      </c>
      <c r="G32" s="33">
        <f>'Stavební rozpočet'!K389</f>
        <v>0</v>
      </c>
      <c r="H32" s="33" t="s">
        <v>830</v>
      </c>
      <c r="I32" s="33">
        <f t="shared" si="0"/>
        <v>0</v>
      </c>
    </row>
    <row r="33" spans="1:9" ht="12.75">
      <c r="A33" s="14"/>
      <c r="B33" s="14" t="s">
        <v>323</v>
      </c>
      <c r="C33" s="114" t="s">
        <v>673</v>
      </c>
      <c r="D33" s="91"/>
      <c r="E33" s="33">
        <f>'Stavební rozpočet'!I394</f>
        <v>0</v>
      </c>
      <c r="F33" s="33">
        <f>'Stavební rozpočet'!J394</f>
        <v>0</v>
      </c>
      <c r="G33" s="33">
        <f>'Stavební rozpočet'!K394</f>
        <v>0</v>
      </c>
      <c r="H33" s="33" t="s">
        <v>830</v>
      </c>
      <c r="I33" s="33">
        <f t="shared" si="0"/>
        <v>0</v>
      </c>
    </row>
    <row r="34" spans="1:9" ht="12.75">
      <c r="A34" s="14"/>
      <c r="B34" s="14" t="s">
        <v>328</v>
      </c>
      <c r="C34" s="114" t="s">
        <v>679</v>
      </c>
      <c r="D34" s="91"/>
      <c r="E34" s="33">
        <f>'Stavební rozpočet'!I406</f>
        <v>0</v>
      </c>
      <c r="F34" s="33">
        <f>'Stavební rozpočet'!J406</f>
        <v>0</v>
      </c>
      <c r="G34" s="33">
        <f>'Stavební rozpočet'!K406</f>
        <v>0</v>
      </c>
      <c r="H34" s="33" t="s">
        <v>830</v>
      </c>
      <c r="I34" s="33">
        <f t="shared" si="0"/>
        <v>0</v>
      </c>
    </row>
    <row r="35" spans="1:9" ht="12.75">
      <c r="A35" s="14"/>
      <c r="B35" s="14" t="s">
        <v>106</v>
      </c>
      <c r="C35" s="114" t="s">
        <v>732</v>
      </c>
      <c r="D35" s="91"/>
      <c r="E35" s="33">
        <f>'Stavební rozpočet'!I488</f>
        <v>0</v>
      </c>
      <c r="F35" s="33">
        <f>'Stavební rozpočet'!J488</f>
        <v>0</v>
      </c>
      <c r="G35" s="33">
        <f>'Stavební rozpočet'!K488</f>
        <v>0</v>
      </c>
      <c r="H35" s="33" t="s">
        <v>830</v>
      </c>
      <c r="I35" s="33">
        <f t="shared" si="0"/>
        <v>0</v>
      </c>
    </row>
    <row r="37" spans="6:7" ht="12.75">
      <c r="F37" s="42" t="s">
        <v>770</v>
      </c>
      <c r="G37" s="44">
        <f>SUM(I11:I35)</f>
        <v>0</v>
      </c>
    </row>
  </sheetData>
  <sheetProtection/>
  <mergeCells count="43">
    <mergeCell ref="C34:D34"/>
    <mergeCell ref="C35:D35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J503"/>
  <sheetViews>
    <sheetView zoomScalePageLayoutView="0" workbookViewId="0" topLeftCell="A1">
      <pane ySplit="11" topLeftCell="A477" activePane="bottomLeft" state="frozen"/>
      <selection pane="topLeft" activeCell="A1" sqref="A1"/>
      <selection pane="bottomLeft" activeCell="A1" sqref="A1:L1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43.8515625" style="0" customWidth="1"/>
    <col min="4" max="5" width="12.140625" style="0" customWidth="1"/>
    <col min="6" max="6" width="8.00390625" style="0" customWidth="1"/>
    <col min="7" max="7" width="12.7109375" style="0" customWidth="1"/>
    <col min="8" max="8" width="12.00390625" style="0" customWidth="1"/>
    <col min="9" max="11" width="14.28125" style="0" customWidth="1"/>
    <col min="12" max="12" width="14.00390625" style="0" customWidth="1"/>
    <col min="13" max="24" width="11.57421875" style="0" customWidth="1"/>
    <col min="25" max="62" width="9.7109375" style="0" hidden="1" customWidth="1"/>
  </cols>
  <sheetData>
    <row r="1" spans="1:12" ht="72.75" customHeight="1">
      <c r="A1" s="137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3" ht="12.75">
      <c r="A2" s="122" t="s">
        <v>1</v>
      </c>
      <c r="B2" s="123"/>
      <c r="C2" s="124" t="s">
        <v>371</v>
      </c>
      <c r="D2" s="139" t="s">
        <v>741</v>
      </c>
      <c r="E2" s="123"/>
      <c r="F2" s="139" t="s">
        <v>6</v>
      </c>
      <c r="G2" s="123"/>
      <c r="H2" s="127" t="s">
        <v>758</v>
      </c>
      <c r="I2" s="127" t="s">
        <v>764</v>
      </c>
      <c r="J2" s="123"/>
      <c r="K2" s="123"/>
      <c r="L2" s="138"/>
      <c r="M2" s="31"/>
    </row>
    <row r="3" spans="1:13" ht="12.75">
      <c r="A3" s="117"/>
      <c r="B3" s="91"/>
      <c r="C3" s="126"/>
      <c r="D3" s="91"/>
      <c r="E3" s="91"/>
      <c r="F3" s="91"/>
      <c r="G3" s="91"/>
      <c r="H3" s="91"/>
      <c r="I3" s="91"/>
      <c r="J3" s="91"/>
      <c r="K3" s="91"/>
      <c r="L3" s="119"/>
      <c r="M3" s="31"/>
    </row>
    <row r="4" spans="1:13" ht="12.75">
      <c r="A4" s="111" t="s">
        <v>2</v>
      </c>
      <c r="B4" s="91"/>
      <c r="C4" s="90" t="s">
        <v>372</v>
      </c>
      <c r="D4" s="114" t="s">
        <v>742</v>
      </c>
      <c r="E4" s="91"/>
      <c r="F4" s="114" t="s">
        <v>745</v>
      </c>
      <c r="G4" s="91"/>
      <c r="H4" s="90" t="s">
        <v>759</v>
      </c>
      <c r="I4" s="90" t="s">
        <v>765</v>
      </c>
      <c r="J4" s="91"/>
      <c r="K4" s="91"/>
      <c r="L4" s="119"/>
      <c r="M4" s="31"/>
    </row>
    <row r="5" spans="1:13" ht="12.75">
      <c r="A5" s="117"/>
      <c r="B5" s="91"/>
      <c r="C5" s="91"/>
      <c r="D5" s="91"/>
      <c r="E5" s="91"/>
      <c r="F5" s="91"/>
      <c r="G5" s="91"/>
      <c r="H5" s="91"/>
      <c r="I5" s="91"/>
      <c r="J5" s="91"/>
      <c r="K5" s="91"/>
      <c r="L5" s="119"/>
      <c r="M5" s="31"/>
    </row>
    <row r="6" spans="1:13" ht="12.75">
      <c r="A6" s="111" t="s">
        <v>3</v>
      </c>
      <c r="B6" s="91"/>
      <c r="C6" s="90" t="s">
        <v>373</v>
      </c>
      <c r="D6" s="114" t="s">
        <v>743</v>
      </c>
      <c r="E6" s="91"/>
      <c r="F6" s="114" t="s">
        <v>6</v>
      </c>
      <c r="G6" s="91"/>
      <c r="H6" s="90" t="s">
        <v>760</v>
      </c>
      <c r="I6" s="114" t="s">
        <v>766</v>
      </c>
      <c r="J6" s="91"/>
      <c r="K6" s="91"/>
      <c r="L6" s="119"/>
      <c r="M6" s="31"/>
    </row>
    <row r="7" spans="1:13" ht="12.75">
      <c r="A7" s="117"/>
      <c r="B7" s="91"/>
      <c r="C7" s="91"/>
      <c r="D7" s="91"/>
      <c r="E7" s="91"/>
      <c r="F7" s="91"/>
      <c r="G7" s="91"/>
      <c r="H7" s="91"/>
      <c r="I7" s="91"/>
      <c r="J7" s="91"/>
      <c r="K7" s="91"/>
      <c r="L7" s="119"/>
      <c r="M7" s="31"/>
    </row>
    <row r="8" spans="1:13" ht="12.75">
      <c r="A8" s="111" t="s">
        <v>4</v>
      </c>
      <c r="B8" s="91"/>
      <c r="C8" s="90" t="s">
        <v>6</v>
      </c>
      <c r="D8" s="114" t="s">
        <v>744</v>
      </c>
      <c r="E8" s="91"/>
      <c r="F8" s="114" t="s">
        <v>745</v>
      </c>
      <c r="G8" s="91"/>
      <c r="H8" s="90" t="s">
        <v>761</v>
      </c>
      <c r="I8" s="90" t="s">
        <v>767</v>
      </c>
      <c r="J8" s="91"/>
      <c r="K8" s="91"/>
      <c r="L8" s="119"/>
      <c r="M8" s="31"/>
    </row>
    <row r="9" spans="1:13" ht="12.75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6"/>
      <c r="M9" s="31"/>
    </row>
    <row r="10" spans="1:13" ht="12.75">
      <c r="A10" s="1" t="s">
        <v>5</v>
      </c>
      <c r="B10" s="10" t="s">
        <v>198</v>
      </c>
      <c r="C10" s="140" t="s">
        <v>374</v>
      </c>
      <c r="D10" s="141"/>
      <c r="E10" s="142"/>
      <c r="F10" s="10" t="s">
        <v>746</v>
      </c>
      <c r="G10" s="15" t="s">
        <v>757</v>
      </c>
      <c r="H10" s="20" t="s">
        <v>762</v>
      </c>
      <c r="I10" s="143" t="s">
        <v>768</v>
      </c>
      <c r="J10" s="144"/>
      <c r="K10" s="145"/>
      <c r="L10" s="25" t="s">
        <v>773</v>
      </c>
      <c r="M10" s="32"/>
    </row>
    <row r="11" spans="1:62" ht="12.75">
      <c r="A11" s="2" t="s">
        <v>6</v>
      </c>
      <c r="B11" s="11" t="s">
        <v>6</v>
      </c>
      <c r="C11" s="146" t="s">
        <v>375</v>
      </c>
      <c r="D11" s="147"/>
      <c r="E11" s="148"/>
      <c r="F11" s="11" t="s">
        <v>6</v>
      </c>
      <c r="G11" s="11" t="s">
        <v>6</v>
      </c>
      <c r="H11" s="21" t="s">
        <v>763</v>
      </c>
      <c r="I11" s="22" t="s">
        <v>769</v>
      </c>
      <c r="J11" s="23" t="s">
        <v>771</v>
      </c>
      <c r="K11" s="24" t="s">
        <v>772</v>
      </c>
      <c r="L11" s="26" t="s">
        <v>774</v>
      </c>
      <c r="M11" s="32"/>
      <c r="Z11" s="29" t="s">
        <v>777</v>
      </c>
      <c r="AA11" s="29" t="s">
        <v>778</v>
      </c>
      <c r="AB11" s="29" t="s">
        <v>779</v>
      </c>
      <c r="AC11" s="29" t="s">
        <v>780</v>
      </c>
      <c r="AD11" s="29" t="s">
        <v>781</v>
      </c>
      <c r="AE11" s="29" t="s">
        <v>782</v>
      </c>
      <c r="AF11" s="29" t="s">
        <v>783</v>
      </c>
      <c r="AG11" s="29" t="s">
        <v>784</v>
      </c>
      <c r="AH11" s="29" t="s">
        <v>785</v>
      </c>
      <c r="BH11" s="29" t="s">
        <v>821</v>
      </c>
      <c r="BI11" s="29" t="s">
        <v>822</v>
      </c>
      <c r="BJ11" s="29" t="s">
        <v>823</v>
      </c>
    </row>
    <row r="12" spans="1:47" ht="12.75">
      <c r="A12" s="3"/>
      <c r="B12" s="12" t="s">
        <v>40</v>
      </c>
      <c r="C12" s="149" t="s">
        <v>376</v>
      </c>
      <c r="D12" s="150"/>
      <c r="E12" s="150"/>
      <c r="F12" s="3" t="s">
        <v>6</v>
      </c>
      <c r="G12" s="3" t="s">
        <v>6</v>
      </c>
      <c r="H12" s="3" t="s">
        <v>6</v>
      </c>
      <c r="I12" s="35">
        <f>SUM(I13:I25)</f>
        <v>0</v>
      </c>
      <c r="J12" s="35">
        <f>SUM(J13:J25)</f>
        <v>0</v>
      </c>
      <c r="K12" s="35">
        <f>SUM(K13:K25)</f>
        <v>0</v>
      </c>
      <c r="L12" s="27"/>
      <c r="AI12" s="29"/>
      <c r="AS12" s="36">
        <f>SUM(AJ13:AJ25)</f>
        <v>0</v>
      </c>
      <c r="AT12" s="36">
        <f>SUM(AK13:AK25)</f>
        <v>0</v>
      </c>
      <c r="AU12" s="36">
        <f>SUM(AL13:AL25)</f>
        <v>0</v>
      </c>
    </row>
    <row r="13" spans="1:62" ht="12.75">
      <c r="A13" s="4" t="s">
        <v>7</v>
      </c>
      <c r="B13" s="4" t="s">
        <v>199</v>
      </c>
      <c r="C13" s="151" t="s">
        <v>377</v>
      </c>
      <c r="D13" s="152"/>
      <c r="E13" s="152"/>
      <c r="F13" s="4" t="s">
        <v>747</v>
      </c>
      <c r="G13" s="16">
        <v>21.0675</v>
      </c>
      <c r="H13" s="16">
        <v>0</v>
      </c>
      <c r="I13" s="16">
        <f>G13*AO13</f>
        <v>0</v>
      </c>
      <c r="J13" s="16">
        <f>G13*AP13</f>
        <v>0</v>
      </c>
      <c r="K13" s="16">
        <f>G13*H13</f>
        <v>0</v>
      </c>
      <c r="L13" s="28" t="s">
        <v>775</v>
      </c>
      <c r="Z13" s="33">
        <f>IF(AQ13="5",BJ13,0)</f>
        <v>0</v>
      </c>
      <c r="AB13" s="33">
        <f>IF(AQ13="1",BH13,0)</f>
        <v>0</v>
      </c>
      <c r="AC13" s="33">
        <f>IF(AQ13="1",BI13,0)</f>
        <v>0</v>
      </c>
      <c r="AD13" s="33">
        <f>IF(AQ13="7",BH13,0)</f>
        <v>0</v>
      </c>
      <c r="AE13" s="33">
        <f>IF(AQ13="7",BI13,0)</f>
        <v>0</v>
      </c>
      <c r="AF13" s="33">
        <f>IF(AQ13="2",BH13,0)</f>
        <v>0</v>
      </c>
      <c r="AG13" s="33">
        <f>IF(AQ13="2",BI13,0)</f>
        <v>0</v>
      </c>
      <c r="AH13" s="33">
        <f>IF(AQ13="0",BJ13,0)</f>
        <v>0</v>
      </c>
      <c r="AI13" s="29"/>
      <c r="AJ13" s="16">
        <f>IF(AN13=0,K13,0)</f>
        <v>0</v>
      </c>
      <c r="AK13" s="16">
        <f>IF(AN13=15,K13,0)</f>
        <v>0</v>
      </c>
      <c r="AL13" s="16">
        <f>IF(AN13=21,K13,0)</f>
        <v>0</v>
      </c>
      <c r="AN13" s="33">
        <v>15</v>
      </c>
      <c r="AO13" s="33">
        <f>H13*0.645554258528392</f>
        <v>0</v>
      </c>
      <c r="AP13" s="33">
        <f>H13*(1-0.645554258528392)</f>
        <v>0</v>
      </c>
      <c r="AQ13" s="28" t="s">
        <v>7</v>
      </c>
      <c r="AV13" s="33">
        <f>AW13+AX13</f>
        <v>0</v>
      </c>
      <c r="AW13" s="33">
        <f>G13*AO13</f>
        <v>0</v>
      </c>
      <c r="AX13" s="33">
        <f>G13*AP13</f>
        <v>0</v>
      </c>
      <c r="AY13" s="34" t="s">
        <v>786</v>
      </c>
      <c r="AZ13" s="34" t="s">
        <v>811</v>
      </c>
      <c r="BA13" s="29" t="s">
        <v>820</v>
      </c>
      <c r="BC13" s="33">
        <f>AW13+AX13</f>
        <v>0</v>
      </c>
      <c r="BD13" s="33">
        <f>H13/(100-BE13)*100</f>
        <v>0</v>
      </c>
      <c r="BE13" s="33">
        <v>0</v>
      </c>
      <c r="BF13" s="33">
        <f>13</f>
        <v>13</v>
      </c>
      <c r="BH13" s="16">
        <f>G13*AO13</f>
        <v>0</v>
      </c>
      <c r="BI13" s="16">
        <f>G13*AP13</f>
        <v>0</v>
      </c>
      <c r="BJ13" s="16">
        <f>G13*H13</f>
        <v>0</v>
      </c>
    </row>
    <row r="14" spans="3:7" ht="10.5" customHeight="1">
      <c r="C14" s="153" t="s">
        <v>378</v>
      </c>
      <c r="D14" s="154"/>
      <c r="E14" s="154"/>
      <c r="G14" s="17">
        <v>23.7975</v>
      </c>
    </row>
    <row r="15" spans="3:7" ht="10.5" customHeight="1">
      <c r="C15" s="153" t="s">
        <v>379</v>
      </c>
      <c r="D15" s="154"/>
      <c r="E15" s="154"/>
      <c r="G15" s="17">
        <v>-2.73</v>
      </c>
    </row>
    <row r="16" spans="1:62" ht="12.75">
      <c r="A16" s="4" t="s">
        <v>8</v>
      </c>
      <c r="B16" s="4" t="s">
        <v>200</v>
      </c>
      <c r="C16" s="151" t="s">
        <v>380</v>
      </c>
      <c r="D16" s="152"/>
      <c r="E16" s="152"/>
      <c r="F16" s="4" t="s">
        <v>748</v>
      </c>
      <c r="G16" s="16">
        <v>2</v>
      </c>
      <c r="H16" s="16">
        <v>0</v>
      </c>
      <c r="I16" s="16">
        <f>G16*AO16</f>
        <v>0</v>
      </c>
      <c r="J16" s="16">
        <f>G16*AP16</f>
        <v>0</v>
      </c>
      <c r="K16" s="16">
        <f>G16*H16</f>
        <v>0</v>
      </c>
      <c r="L16" s="28" t="s">
        <v>775</v>
      </c>
      <c r="Z16" s="33">
        <f>IF(AQ16="5",BJ16,0)</f>
        <v>0</v>
      </c>
      <c r="AB16" s="33">
        <f>IF(AQ16="1",BH16,0)</f>
        <v>0</v>
      </c>
      <c r="AC16" s="33">
        <f>IF(AQ16="1",BI16,0)</f>
        <v>0</v>
      </c>
      <c r="AD16" s="33">
        <f>IF(AQ16="7",BH16,0)</f>
        <v>0</v>
      </c>
      <c r="AE16" s="33">
        <f>IF(AQ16="7",BI16,0)</f>
        <v>0</v>
      </c>
      <c r="AF16" s="33">
        <f>IF(AQ16="2",BH16,0)</f>
        <v>0</v>
      </c>
      <c r="AG16" s="33">
        <f>IF(AQ16="2",BI16,0)</f>
        <v>0</v>
      </c>
      <c r="AH16" s="33">
        <f>IF(AQ16="0",BJ16,0)</f>
        <v>0</v>
      </c>
      <c r="AI16" s="29"/>
      <c r="AJ16" s="16">
        <f>IF(AN16=0,K16,0)</f>
        <v>0</v>
      </c>
      <c r="AK16" s="16">
        <f>IF(AN16=15,K16,0)</f>
        <v>0</v>
      </c>
      <c r="AL16" s="16">
        <f>IF(AN16=21,K16,0)</f>
        <v>0</v>
      </c>
      <c r="AN16" s="33">
        <v>15</v>
      </c>
      <c r="AO16" s="33">
        <f>H16*0.81556765163297</f>
        <v>0</v>
      </c>
      <c r="AP16" s="33">
        <f>H16*(1-0.81556765163297)</f>
        <v>0</v>
      </c>
      <c r="AQ16" s="28" t="s">
        <v>7</v>
      </c>
      <c r="AV16" s="33">
        <f>AW16+AX16</f>
        <v>0</v>
      </c>
      <c r="AW16" s="33">
        <f>G16*AO16</f>
        <v>0</v>
      </c>
      <c r="AX16" s="33">
        <f>G16*AP16</f>
        <v>0</v>
      </c>
      <c r="AY16" s="34" t="s">
        <v>786</v>
      </c>
      <c r="AZ16" s="34" t="s">
        <v>811</v>
      </c>
      <c r="BA16" s="29" t="s">
        <v>820</v>
      </c>
      <c r="BC16" s="33">
        <f>AW16+AX16</f>
        <v>0</v>
      </c>
      <c r="BD16" s="33">
        <f>H16/(100-BE16)*100</f>
        <v>0</v>
      </c>
      <c r="BE16" s="33">
        <v>0</v>
      </c>
      <c r="BF16" s="33">
        <f>16</f>
        <v>16</v>
      </c>
      <c r="BH16" s="16">
        <f>G16*AO16</f>
        <v>0</v>
      </c>
      <c r="BI16" s="16">
        <f>G16*AP16</f>
        <v>0</v>
      </c>
      <c r="BJ16" s="16">
        <f>G16*H16</f>
        <v>0</v>
      </c>
    </row>
    <row r="17" spans="3:5" ht="12.75">
      <c r="C17" s="155" t="s">
        <v>381</v>
      </c>
      <c r="D17" s="156"/>
      <c r="E17" s="156"/>
    </row>
    <row r="18" spans="3:7" ht="10.5" customHeight="1">
      <c r="C18" s="153" t="s">
        <v>382</v>
      </c>
      <c r="D18" s="154"/>
      <c r="E18" s="154"/>
      <c r="G18" s="17">
        <v>2</v>
      </c>
    </row>
    <row r="19" spans="1:62" ht="12.75">
      <c r="A19" s="4" t="s">
        <v>9</v>
      </c>
      <c r="B19" s="4" t="s">
        <v>201</v>
      </c>
      <c r="C19" s="151" t="s">
        <v>383</v>
      </c>
      <c r="D19" s="152"/>
      <c r="E19" s="152"/>
      <c r="F19" s="4" t="s">
        <v>747</v>
      </c>
      <c r="G19" s="16">
        <v>3.363</v>
      </c>
      <c r="H19" s="16">
        <v>0</v>
      </c>
      <c r="I19" s="16">
        <f>G19*AO19</f>
        <v>0</v>
      </c>
      <c r="J19" s="16">
        <f>G19*AP19</f>
        <v>0</v>
      </c>
      <c r="K19" s="16">
        <f>G19*H19</f>
        <v>0</v>
      </c>
      <c r="L19" s="28" t="s">
        <v>775</v>
      </c>
      <c r="Z19" s="33">
        <f>IF(AQ19="5",BJ19,0)</f>
        <v>0</v>
      </c>
      <c r="AB19" s="33">
        <f>IF(AQ19="1",BH19,0)</f>
        <v>0</v>
      </c>
      <c r="AC19" s="33">
        <f>IF(AQ19="1",BI19,0)</f>
        <v>0</v>
      </c>
      <c r="AD19" s="33">
        <f>IF(AQ19="7",BH19,0)</f>
        <v>0</v>
      </c>
      <c r="AE19" s="33">
        <f>IF(AQ19="7",BI19,0)</f>
        <v>0</v>
      </c>
      <c r="AF19" s="33">
        <f>IF(AQ19="2",BH19,0)</f>
        <v>0</v>
      </c>
      <c r="AG19" s="33">
        <f>IF(AQ19="2",BI19,0)</f>
        <v>0</v>
      </c>
      <c r="AH19" s="33">
        <f>IF(AQ19="0",BJ19,0)</f>
        <v>0</v>
      </c>
      <c r="AI19" s="29"/>
      <c r="AJ19" s="16">
        <f>IF(AN19=0,K19,0)</f>
        <v>0</v>
      </c>
      <c r="AK19" s="16">
        <f>IF(AN19=15,K19,0)</f>
        <v>0</v>
      </c>
      <c r="AL19" s="16">
        <f>IF(AN19=21,K19,0)</f>
        <v>0</v>
      </c>
      <c r="AN19" s="33">
        <v>15</v>
      </c>
      <c r="AO19" s="33">
        <f>H19*0.796933333333333</f>
        <v>0</v>
      </c>
      <c r="AP19" s="33">
        <f>H19*(1-0.796933333333333)</f>
        <v>0</v>
      </c>
      <c r="AQ19" s="28" t="s">
        <v>7</v>
      </c>
      <c r="AV19" s="33">
        <f>AW19+AX19</f>
        <v>0</v>
      </c>
      <c r="AW19" s="33">
        <f>G19*AO19</f>
        <v>0</v>
      </c>
      <c r="AX19" s="33">
        <f>G19*AP19</f>
        <v>0</v>
      </c>
      <c r="AY19" s="34" t="s">
        <v>786</v>
      </c>
      <c r="AZ19" s="34" t="s">
        <v>811</v>
      </c>
      <c r="BA19" s="29" t="s">
        <v>820</v>
      </c>
      <c r="BC19" s="33">
        <f>AW19+AX19</f>
        <v>0</v>
      </c>
      <c r="BD19" s="33">
        <f>H19/(100-BE19)*100</f>
        <v>0</v>
      </c>
      <c r="BE19" s="33">
        <v>0</v>
      </c>
      <c r="BF19" s="33">
        <f>19</f>
        <v>19</v>
      </c>
      <c r="BH19" s="16">
        <f>G19*AO19</f>
        <v>0</v>
      </c>
      <c r="BI19" s="16">
        <f>G19*AP19</f>
        <v>0</v>
      </c>
      <c r="BJ19" s="16">
        <f>G19*H19</f>
        <v>0</v>
      </c>
    </row>
    <row r="20" spans="3:5" ht="12.75">
      <c r="C20" s="155" t="s">
        <v>384</v>
      </c>
      <c r="D20" s="156"/>
      <c r="E20" s="156"/>
    </row>
    <row r="21" spans="3:7" ht="10.5" customHeight="1">
      <c r="C21" s="153" t="s">
        <v>385</v>
      </c>
      <c r="D21" s="154"/>
      <c r="E21" s="154"/>
      <c r="G21" s="17">
        <v>3.363</v>
      </c>
    </row>
    <row r="22" spans="1:62" ht="12.75">
      <c r="A22" s="4" t="s">
        <v>10</v>
      </c>
      <c r="B22" s="4" t="s">
        <v>202</v>
      </c>
      <c r="C22" s="151" t="s">
        <v>383</v>
      </c>
      <c r="D22" s="152"/>
      <c r="E22" s="152"/>
      <c r="F22" s="4" t="s">
        <v>747</v>
      </c>
      <c r="G22" s="16">
        <v>3.135</v>
      </c>
      <c r="H22" s="16">
        <v>0</v>
      </c>
      <c r="I22" s="16">
        <f>G22*AO22</f>
        <v>0</v>
      </c>
      <c r="J22" s="16">
        <f>G22*AP22</f>
        <v>0</v>
      </c>
      <c r="K22" s="16">
        <f>G22*H22</f>
        <v>0</v>
      </c>
      <c r="L22" s="28" t="s">
        <v>775</v>
      </c>
      <c r="Z22" s="33">
        <f>IF(AQ22="5",BJ22,0)</f>
        <v>0</v>
      </c>
      <c r="AB22" s="33">
        <f>IF(AQ22="1",BH22,0)</f>
        <v>0</v>
      </c>
      <c r="AC22" s="33">
        <f>IF(AQ22="1",BI22,0)</f>
        <v>0</v>
      </c>
      <c r="AD22" s="33">
        <f>IF(AQ22="7",BH22,0)</f>
        <v>0</v>
      </c>
      <c r="AE22" s="33">
        <f>IF(AQ22="7",BI22,0)</f>
        <v>0</v>
      </c>
      <c r="AF22" s="33">
        <f>IF(AQ22="2",BH22,0)</f>
        <v>0</v>
      </c>
      <c r="AG22" s="33">
        <f>IF(AQ22="2",BI22,0)</f>
        <v>0</v>
      </c>
      <c r="AH22" s="33">
        <f>IF(AQ22="0",BJ22,0)</f>
        <v>0</v>
      </c>
      <c r="AI22" s="29"/>
      <c r="AJ22" s="16">
        <f>IF(AN22=0,K22,0)</f>
        <v>0</v>
      </c>
      <c r="AK22" s="16">
        <f>IF(AN22=15,K22,0)</f>
        <v>0</v>
      </c>
      <c r="AL22" s="16">
        <f>IF(AN22=21,K22,0)</f>
        <v>0</v>
      </c>
      <c r="AN22" s="33">
        <v>15</v>
      </c>
      <c r="AO22" s="33">
        <f>H22*0.82266022995283</f>
        <v>0</v>
      </c>
      <c r="AP22" s="33">
        <f>H22*(1-0.82266022995283)</f>
        <v>0</v>
      </c>
      <c r="AQ22" s="28" t="s">
        <v>7</v>
      </c>
      <c r="AV22" s="33">
        <f>AW22+AX22</f>
        <v>0</v>
      </c>
      <c r="AW22" s="33">
        <f>G22*AO22</f>
        <v>0</v>
      </c>
      <c r="AX22" s="33">
        <f>G22*AP22</f>
        <v>0</v>
      </c>
      <c r="AY22" s="34" t="s">
        <v>786</v>
      </c>
      <c r="AZ22" s="34" t="s">
        <v>811</v>
      </c>
      <c r="BA22" s="29" t="s">
        <v>820</v>
      </c>
      <c r="BC22" s="33">
        <f>AW22+AX22</f>
        <v>0</v>
      </c>
      <c r="BD22" s="33">
        <f>H22/(100-BE22)*100</f>
        <v>0</v>
      </c>
      <c r="BE22" s="33">
        <v>0</v>
      </c>
      <c r="BF22" s="33">
        <f>22</f>
        <v>22</v>
      </c>
      <c r="BH22" s="16">
        <f>G22*AO22</f>
        <v>0</v>
      </c>
      <c r="BI22" s="16">
        <f>G22*AP22</f>
        <v>0</v>
      </c>
      <c r="BJ22" s="16">
        <f>G22*H22</f>
        <v>0</v>
      </c>
    </row>
    <row r="23" spans="3:5" ht="12.75">
      <c r="C23" s="155" t="s">
        <v>386</v>
      </c>
      <c r="D23" s="156"/>
      <c r="E23" s="156"/>
    </row>
    <row r="24" spans="3:7" ht="10.5" customHeight="1">
      <c r="C24" s="153" t="s">
        <v>387</v>
      </c>
      <c r="D24" s="154"/>
      <c r="E24" s="154"/>
      <c r="G24" s="17">
        <v>3.135</v>
      </c>
    </row>
    <row r="25" spans="1:62" ht="12.75">
      <c r="A25" s="4" t="s">
        <v>11</v>
      </c>
      <c r="B25" s="4" t="s">
        <v>203</v>
      </c>
      <c r="C25" s="151" t="s">
        <v>388</v>
      </c>
      <c r="D25" s="152"/>
      <c r="E25" s="152"/>
      <c r="F25" s="4" t="s">
        <v>749</v>
      </c>
      <c r="G25" s="16">
        <v>19.95</v>
      </c>
      <c r="H25" s="16">
        <v>0</v>
      </c>
      <c r="I25" s="16">
        <f>G25*AO25</f>
        <v>0</v>
      </c>
      <c r="J25" s="16">
        <f>G25*AP25</f>
        <v>0</v>
      </c>
      <c r="K25" s="16">
        <f>G25*H25</f>
        <v>0</v>
      </c>
      <c r="L25" s="28" t="s">
        <v>775</v>
      </c>
      <c r="Z25" s="33">
        <f>IF(AQ25="5",BJ25,0)</f>
        <v>0</v>
      </c>
      <c r="AB25" s="33">
        <f>IF(AQ25="1",BH25,0)</f>
        <v>0</v>
      </c>
      <c r="AC25" s="33">
        <f>IF(AQ25="1",BI25,0)</f>
        <v>0</v>
      </c>
      <c r="AD25" s="33">
        <f>IF(AQ25="7",BH25,0)</f>
        <v>0</v>
      </c>
      <c r="AE25" s="33">
        <f>IF(AQ25="7",BI25,0)</f>
        <v>0</v>
      </c>
      <c r="AF25" s="33">
        <f>IF(AQ25="2",BH25,0)</f>
        <v>0</v>
      </c>
      <c r="AG25" s="33">
        <f>IF(AQ25="2",BI25,0)</f>
        <v>0</v>
      </c>
      <c r="AH25" s="33">
        <f>IF(AQ25="0",BJ25,0)</f>
        <v>0</v>
      </c>
      <c r="AI25" s="29"/>
      <c r="AJ25" s="16">
        <f>IF(AN25=0,K25,0)</f>
        <v>0</v>
      </c>
      <c r="AK25" s="16">
        <f>IF(AN25=15,K25,0)</f>
        <v>0</v>
      </c>
      <c r="AL25" s="16">
        <f>IF(AN25=21,K25,0)</f>
        <v>0</v>
      </c>
      <c r="AN25" s="33">
        <v>15</v>
      </c>
      <c r="AO25" s="33">
        <f>H25*0.189561374429351</f>
        <v>0</v>
      </c>
      <c r="AP25" s="33">
        <f>H25*(1-0.189561374429351)</f>
        <v>0</v>
      </c>
      <c r="AQ25" s="28" t="s">
        <v>7</v>
      </c>
      <c r="AV25" s="33">
        <f>AW25+AX25</f>
        <v>0</v>
      </c>
      <c r="AW25" s="33">
        <f>G25*AO25</f>
        <v>0</v>
      </c>
      <c r="AX25" s="33">
        <f>G25*AP25</f>
        <v>0</v>
      </c>
      <c r="AY25" s="34" t="s">
        <v>786</v>
      </c>
      <c r="AZ25" s="34" t="s">
        <v>811</v>
      </c>
      <c r="BA25" s="29" t="s">
        <v>820</v>
      </c>
      <c r="BC25" s="33">
        <f>AW25+AX25</f>
        <v>0</v>
      </c>
      <c r="BD25" s="33">
        <f>H25/(100-BE25)*100</f>
        <v>0</v>
      </c>
      <c r="BE25" s="33">
        <v>0</v>
      </c>
      <c r="BF25" s="33">
        <f>25</f>
        <v>25</v>
      </c>
      <c r="BH25" s="16">
        <f>G25*AO25</f>
        <v>0</v>
      </c>
      <c r="BI25" s="16">
        <f>G25*AP25</f>
        <v>0</v>
      </c>
      <c r="BJ25" s="16">
        <f>G25*H25</f>
        <v>0</v>
      </c>
    </row>
    <row r="26" spans="3:7" ht="10.5" customHeight="1">
      <c r="C26" s="153" t="s">
        <v>389</v>
      </c>
      <c r="D26" s="154"/>
      <c r="E26" s="154"/>
      <c r="G26" s="17">
        <v>19.95</v>
      </c>
    </row>
    <row r="27" spans="1:47" ht="12.75">
      <c r="A27" s="5"/>
      <c r="B27" s="13" t="s">
        <v>47</v>
      </c>
      <c r="C27" s="157" t="s">
        <v>390</v>
      </c>
      <c r="D27" s="158"/>
      <c r="E27" s="158"/>
      <c r="F27" s="5" t="s">
        <v>6</v>
      </c>
      <c r="G27" s="5" t="s">
        <v>6</v>
      </c>
      <c r="H27" s="5" t="s">
        <v>6</v>
      </c>
      <c r="I27" s="36">
        <f>SUM(I28:I30)</f>
        <v>0</v>
      </c>
      <c r="J27" s="36">
        <f>SUM(J28:J30)</f>
        <v>0</v>
      </c>
      <c r="K27" s="36">
        <f>SUM(K28:K30)</f>
        <v>0</v>
      </c>
      <c r="L27" s="29"/>
      <c r="AI27" s="29"/>
      <c r="AS27" s="36">
        <f>SUM(AJ28:AJ30)</f>
        <v>0</v>
      </c>
      <c r="AT27" s="36">
        <f>SUM(AK28:AK30)</f>
        <v>0</v>
      </c>
      <c r="AU27" s="36">
        <f>SUM(AL28:AL30)</f>
        <v>0</v>
      </c>
    </row>
    <row r="28" spans="1:62" ht="12.75">
      <c r="A28" s="4" t="s">
        <v>12</v>
      </c>
      <c r="B28" s="4" t="s">
        <v>204</v>
      </c>
      <c r="C28" s="151" t="s">
        <v>391</v>
      </c>
      <c r="D28" s="152"/>
      <c r="E28" s="152"/>
      <c r="F28" s="4" t="s">
        <v>747</v>
      </c>
      <c r="G28" s="16">
        <v>5.55</v>
      </c>
      <c r="H28" s="16">
        <v>0</v>
      </c>
      <c r="I28" s="16">
        <f>G28*AO28</f>
        <v>0</v>
      </c>
      <c r="J28" s="16">
        <f>G28*AP28</f>
        <v>0</v>
      </c>
      <c r="K28" s="16">
        <f>G28*H28</f>
        <v>0</v>
      </c>
      <c r="L28" s="28" t="s">
        <v>775</v>
      </c>
      <c r="Z28" s="33">
        <f>IF(AQ28="5",BJ28,0)</f>
        <v>0</v>
      </c>
      <c r="AB28" s="33">
        <f>IF(AQ28="1",BH28,0)</f>
        <v>0</v>
      </c>
      <c r="AC28" s="33">
        <f>IF(AQ28="1",BI28,0)</f>
        <v>0</v>
      </c>
      <c r="AD28" s="33">
        <f>IF(AQ28="7",BH28,0)</f>
        <v>0</v>
      </c>
      <c r="AE28" s="33">
        <f>IF(AQ28="7",BI28,0)</f>
        <v>0</v>
      </c>
      <c r="AF28" s="33">
        <f>IF(AQ28="2",BH28,0)</f>
        <v>0</v>
      </c>
      <c r="AG28" s="33">
        <f>IF(AQ28="2",BI28,0)</f>
        <v>0</v>
      </c>
      <c r="AH28" s="33">
        <f>IF(AQ28="0",BJ28,0)</f>
        <v>0</v>
      </c>
      <c r="AI28" s="29"/>
      <c r="AJ28" s="16">
        <f>IF(AN28=0,K28,0)</f>
        <v>0</v>
      </c>
      <c r="AK28" s="16">
        <f>IF(AN28=15,K28,0)</f>
        <v>0</v>
      </c>
      <c r="AL28" s="16">
        <f>IF(AN28=21,K28,0)</f>
        <v>0</v>
      </c>
      <c r="AN28" s="33">
        <v>15</v>
      </c>
      <c r="AO28" s="33">
        <f>H28*0.341751383211601</f>
        <v>0</v>
      </c>
      <c r="AP28" s="33">
        <f>H28*(1-0.341751383211601)</f>
        <v>0</v>
      </c>
      <c r="AQ28" s="28" t="s">
        <v>7</v>
      </c>
      <c r="AV28" s="33">
        <f>AW28+AX28</f>
        <v>0</v>
      </c>
      <c r="AW28" s="33">
        <f>G28*AO28</f>
        <v>0</v>
      </c>
      <c r="AX28" s="33">
        <f>G28*AP28</f>
        <v>0</v>
      </c>
      <c r="AY28" s="34" t="s">
        <v>787</v>
      </c>
      <c r="AZ28" s="34" t="s">
        <v>812</v>
      </c>
      <c r="BA28" s="29" t="s">
        <v>820</v>
      </c>
      <c r="BC28" s="33">
        <f>AW28+AX28</f>
        <v>0</v>
      </c>
      <c r="BD28" s="33">
        <f>H28/(100-BE28)*100</f>
        <v>0</v>
      </c>
      <c r="BE28" s="33">
        <v>0</v>
      </c>
      <c r="BF28" s="33">
        <f>28</f>
        <v>28</v>
      </c>
      <c r="BH28" s="16">
        <f>G28*AO28</f>
        <v>0</v>
      </c>
      <c r="BI28" s="16">
        <f>G28*AP28</f>
        <v>0</v>
      </c>
      <c r="BJ28" s="16">
        <f>G28*H28</f>
        <v>0</v>
      </c>
    </row>
    <row r="29" spans="3:7" ht="10.5" customHeight="1">
      <c r="C29" s="153" t="s">
        <v>392</v>
      </c>
      <c r="D29" s="154"/>
      <c r="E29" s="154"/>
      <c r="G29" s="17">
        <v>5.55</v>
      </c>
    </row>
    <row r="30" spans="1:62" ht="12.75">
      <c r="A30" s="4" t="s">
        <v>13</v>
      </c>
      <c r="B30" s="4" t="s">
        <v>205</v>
      </c>
      <c r="C30" s="151" t="s">
        <v>393</v>
      </c>
      <c r="D30" s="152"/>
      <c r="E30" s="152"/>
      <c r="F30" s="4" t="s">
        <v>747</v>
      </c>
      <c r="G30" s="16">
        <v>56.5</v>
      </c>
      <c r="H30" s="16">
        <v>0</v>
      </c>
      <c r="I30" s="16">
        <f>G30*AO30</f>
        <v>0</v>
      </c>
      <c r="J30" s="16">
        <f>G30*AP30</f>
        <v>0</v>
      </c>
      <c r="K30" s="16">
        <f>G30*H30</f>
        <v>0</v>
      </c>
      <c r="L30" s="28" t="s">
        <v>775</v>
      </c>
      <c r="Z30" s="33">
        <f>IF(AQ30="5",BJ30,0)</f>
        <v>0</v>
      </c>
      <c r="AB30" s="33">
        <f>IF(AQ30="1",BH30,0)</f>
        <v>0</v>
      </c>
      <c r="AC30" s="33">
        <f>IF(AQ30="1",BI30,0)</f>
        <v>0</v>
      </c>
      <c r="AD30" s="33">
        <f>IF(AQ30="7",BH30,0)</f>
        <v>0</v>
      </c>
      <c r="AE30" s="33">
        <f>IF(AQ30="7",BI30,0)</f>
        <v>0</v>
      </c>
      <c r="AF30" s="33">
        <f>IF(AQ30="2",BH30,0)</f>
        <v>0</v>
      </c>
      <c r="AG30" s="33">
        <f>IF(AQ30="2",BI30,0)</f>
        <v>0</v>
      </c>
      <c r="AH30" s="33">
        <f>IF(AQ30="0",BJ30,0)</f>
        <v>0</v>
      </c>
      <c r="AI30" s="29"/>
      <c r="AJ30" s="16">
        <f>IF(AN30=0,K30,0)</f>
        <v>0</v>
      </c>
      <c r="AK30" s="16">
        <f>IF(AN30=15,K30,0)</f>
        <v>0</v>
      </c>
      <c r="AL30" s="16">
        <f>IF(AN30=21,K30,0)</f>
        <v>0</v>
      </c>
      <c r="AN30" s="33">
        <v>15</v>
      </c>
      <c r="AO30" s="33">
        <f>H30*0.299605268387135</f>
        <v>0</v>
      </c>
      <c r="AP30" s="33">
        <f>H30*(1-0.299605268387135)</f>
        <v>0</v>
      </c>
      <c r="AQ30" s="28" t="s">
        <v>7</v>
      </c>
      <c r="AV30" s="33">
        <f>AW30+AX30</f>
        <v>0</v>
      </c>
      <c r="AW30" s="33">
        <f>G30*AO30</f>
        <v>0</v>
      </c>
      <c r="AX30" s="33">
        <f>G30*AP30</f>
        <v>0</v>
      </c>
      <c r="AY30" s="34" t="s">
        <v>787</v>
      </c>
      <c r="AZ30" s="34" t="s">
        <v>812</v>
      </c>
      <c r="BA30" s="29" t="s">
        <v>820</v>
      </c>
      <c r="BC30" s="33">
        <f>AW30+AX30</f>
        <v>0</v>
      </c>
      <c r="BD30" s="33">
        <f>H30/(100-BE30)*100</f>
        <v>0</v>
      </c>
      <c r="BE30" s="33">
        <v>0</v>
      </c>
      <c r="BF30" s="33">
        <f>30</f>
        <v>30</v>
      </c>
      <c r="BH30" s="16">
        <f>G30*AO30</f>
        <v>0</v>
      </c>
      <c r="BI30" s="16">
        <f>G30*AP30</f>
        <v>0</v>
      </c>
      <c r="BJ30" s="16">
        <f>G30*H30</f>
        <v>0</v>
      </c>
    </row>
    <row r="31" spans="3:7" ht="10.5" customHeight="1">
      <c r="C31" s="153" t="s">
        <v>394</v>
      </c>
      <c r="D31" s="154"/>
      <c r="E31" s="154"/>
      <c r="G31" s="17">
        <v>56.5</v>
      </c>
    </row>
    <row r="32" spans="1:47" ht="12.75">
      <c r="A32" s="5"/>
      <c r="B32" s="13" t="s">
        <v>67</v>
      </c>
      <c r="C32" s="157" t="s">
        <v>395</v>
      </c>
      <c r="D32" s="158"/>
      <c r="E32" s="158"/>
      <c r="F32" s="5" t="s">
        <v>6</v>
      </c>
      <c r="G32" s="5" t="s">
        <v>6</v>
      </c>
      <c r="H32" s="5" t="s">
        <v>6</v>
      </c>
      <c r="I32" s="36">
        <f>SUM(I33:I49)</f>
        <v>0</v>
      </c>
      <c r="J32" s="36">
        <f>SUM(J33:J49)</f>
        <v>0</v>
      </c>
      <c r="K32" s="36">
        <f>SUM(K33:K49)</f>
        <v>0</v>
      </c>
      <c r="L32" s="29"/>
      <c r="AI32" s="29"/>
      <c r="AS32" s="36">
        <f>SUM(AJ33:AJ49)</f>
        <v>0</v>
      </c>
      <c r="AT32" s="36">
        <f>SUM(AK33:AK49)</f>
        <v>0</v>
      </c>
      <c r="AU32" s="36">
        <f>SUM(AL33:AL49)</f>
        <v>0</v>
      </c>
    </row>
    <row r="33" spans="1:62" ht="12.75">
      <c r="A33" s="4" t="s">
        <v>14</v>
      </c>
      <c r="B33" s="4" t="s">
        <v>206</v>
      </c>
      <c r="C33" s="151" t="s">
        <v>396</v>
      </c>
      <c r="D33" s="152"/>
      <c r="E33" s="152"/>
      <c r="F33" s="4" t="s">
        <v>747</v>
      </c>
      <c r="G33" s="16">
        <v>39.442</v>
      </c>
      <c r="H33" s="16">
        <v>0</v>
      </c>
      <c r="I33" s="16">
        <f>G33*AO33</f>
        <v>0</v>
      </c>
      <c r="J33" s="16">
        <f>G33*AP33</f>
        <v>0</v>
      </c>
      <c r="K33" s="16">
        <f>G33*H33</f>
        <v>0</v>
      </c>
      <c r="L33" s="28" t="s">
        <v>775</v>
      </c>
      <c r="Z33" s="33">
        <f>IF(AQ33="5",BJ33,0)</f>
        <v>0</v>
      </c>
      <c r="AB33" s="33">
        <f>IF(AQ33="1",BH33,0)</f>
        <v>0</v>
      </c>
      <c r="AC33" s="33">
        <f>IF(AQ33="1",BI33,0)</f>
        <v>0</v>
      </c>
      <c r="AD33" s="33">
        <f>IF(AQ33="7",BH33,0)</f>
        <v>0</v>
      </c>
      <c r="AE33" s="33">
        <f>IF(AQ33="7",BI33,0)</f>
        <v>0</v>
      </c>
      <c r="AF33" s="33">
        <f>IF(AQ33="2",BH33,0)</f>
        <v>0</v>
      </c>
      <c r="AG33" s="33">
        <f>IF(AQ33="2",BI33,0)</f>
        <v>0</v>
      </c>
      <c r="AH33" s="33">
        <f>IF(AQ33="0",BJ33,0)</f>
        <v>0</v>
      </c>
      <c r="AI33" s="29"/>
      <c r="AJ33" s="16">
        <f>IF(AN33=0,K33,0)</f>
        <v>0</v>
      </c>
      <c r="AK33" s="16">
        <f>IF(AN33=15,K33,0)</f>
        <v>0</v>
      </c>
      <c r="AL33" s="16">
        <f>IF(AN33=21,K33,0)</f>
        <v>0</v>
      </c>
      <c r="AN33" s="33">
        <v>15</v>
      </c>
      <c r="AO33" s="33">
        <f>H33*0.293420269548973</f>
        <v>0</v>
      </c>
      <c r="AP33" s="33">
        <f>H33*(1-0.293420269548973)</f>
        <v>0</v>
      </c>
      <c r="AQ33" s="28" t="s">
        <v>7</v>
      </c>
      <c r="AV33" s="33">
        <f>AW33+AX33</f>
        <v>0</v>
      </c>
      <c r="AW33" s="33">
        <f>G33*AO33</f>
        <v>0</v>
      </c>
      <c r="AX33" s="33">
        <f>G33*AP33</f>
        <v>0</v>
      </c>
      <c r="AY33" s="34" t="s">
        <v>788</v>
      </c>
      <c r="AZ33" s="34" t="s">
        <v>813</v>
      </c>
      <c r="BA33" s="29" t="s">
        <v>820</v>
      </c>
      <c r="BC33" s="33">
        <f>AW33+AX33</f>
        <v>0</v>
      </c>
      <c r="BD33" s="33">
        <f>H33/(100-BE33)*100</f>
        <v>0</v>
      </c>
      <c r="BE33" s="33">
        <v>0</v>
      </c>
      <c r="BF33" s="33">
        <f>33</f>
        <v>33</v>
      </c>
      <c r="BH33" s="16">
        <f>G33*AO33</f>
        <v>0</v>
      </c>
      <c r="BI33" s="16">
        <f>G33*AP33</f>
        <v>0</v>
      </c>
      <c r="BJ33" s="16">
        <f>G33*H33</f>
        <v>0</v>
      </c>
    </row>
    <row r="34" spans="3:7" ht="10.5" customHeight="1">
      <c r="C34" s="153" t="s">
        <v>397</v>
      </c>
      <c r="D34" s="154"/>
      <c r="E34" s="154"/>
      <c r="G34" s="17">
        <v>22.362</v>
      </c>
    </row>
    <row r="35" spans="3:7" ht="10.5" customHeight="1">
      <c r="C35" s="153" t="s">
        <v>398</v>
      </c>
      <c r="D35" s="154"/>
      <c r="E35" s="154"/>
      <c r="G35" s="17">
        <v>17.08</v>
      </c>
    </row>
    <row r="36" spans="1:62" ht="12.75">
      <c r="A36" s="4" t="s">
        <v>15</v>
      </c>
      <c r="B36" s="4" t="s">
        <v>207</v>
      </c>
      <c r="C36" s="151" t="s">
        <v>399</v>
      </c>
      <c r="D36" s="152"/>
      <c r="E36" s="152"/>
      <c r="F36" s="4" t="s">
        <v>747</v>
      </c>
      <c r="G36" s="16">
        <v>11.13</v>
      </c>
      <c r="H36" s="16">
        <v>0</v>
      </c>
      <c r="I36" s="16">
        <f>G36*AO36</f>
        <v>0</v>
      </c>
      <c r="J36" s="16">
        <f>G36*AP36</f>
        <v>0</v>
      </c>
      <c r="K36" s="16">
        <f>G36*H36</f>
        <v>0</v>
      </c>
      <c r="L36" s="28" t="s">
        <v>775</v>
      </c>
      <c r="Z36" s="33">
        <f>IF(AQ36="5",BJ36,0)</f>
        <v>0</v>
      </c>
      <c r="AB36" s="33">
        <f>IF(AQ36="1",BH36,0)</f>
        <v>0</v>
      </c>
      <c r="AC36" s="33">
        <f>IF(AQ36="1",BI36,0)</f>
        <v>0</v>
      </c>
      <c r="AD36" s="33">
        <f>IF(AQ36="7",BH36,0)</f>
        <v>0</v>
      </c>
      <c r="AE36" s="33">
        <f>IF(AQ36="7",BI36,0)</f>
        <v>0</v>
      </c>
      <c r="AF36" s="33">
        <f>IF(AQ36="2",BH36,0)</f>
        <v>0</v>
      </c>
      <c r="AG36" s="33">
        <f>IF(AQ36="2",BI36,0)</f>
        <v>0</v>
      </c>
      <c r="AH36" s="33">
        <f>IF(AQ36="0",BJ36,0)</f>
        <v>0</v>
      </c>
      <c r="AI36" s="29"/>
      <c r="AJ36" s="16">
        <f>IF(AN36=0,K36,0)</f>
        <v>0</v>
      </c>
      <c r="AK36" s="16">
        <f>IF(AN36=15,K36,0)</f>
        <v>0</v>
      </c>
      <c r="AL36" s="16">
        <f>IF(AN36=21,K36,0)</f>
        <v>0</v>
      </c>
      <c r="AN36" s="33">
        <v>15</v>
      </c>
      <c r="AO36" s="33">
        <f>H36*0.159433239114605</f>
        <v>0</v>
      </c>
      <c r="AP36" s="33">
        <f>H36*(1-0.159433239114605)</f>
        <v>0</v>
      </c>
      <c r="AQ36" s="28" t="s">
        <v>7</v>
      </c>
      <c r="AV36" s="33">
        <f>AW36+AX36</f>
        <v>0</v>
      </c>
      <c r="AW36" s="33">
        <f>G36*AO36</f>
        <v>0</v>
      </c>
      <c r="AX36" s="33">
        <f>G36*AP36</f>
        <v>0</v>
      </c>
      <c r="AY36" s="34" t="s">
        <v>788</v>
      </c>
      <c r="AZ36" s="34" t="s">
        <v>813</v>
      </c>
      <c r="BA36" s="29" t="s">
        <v>820</v>
      </c>
      <c r="BC36" s="33">
        <f>AW36+AX36</f>
        <v>0</v>
      </c>
      <c r="BD36" s="33">
        <f>H36/(100-BE36)*100</f>
        <v>0</v>
      </c>
      <c r="BE36" s="33">
        <v>0</v>
      </c>
      <c r="BF36" s="33">
        <f>36</f>
        <v>36</v>
      </c>
      <c r="BH36" s="16">
        <f>G36*AO36</f>
        <v>0</v>
      </c>
      <c r="BI36" s="16">
        <f>G36*AP36</f>
        <v>0</v>
      </c>
      <c r="BJ36" s="16">
        <f>G36*H36</f>
        <v>0</v>
      </c>
    </row>
    <row r="37" spans="3:7" ht="10.5" customHeight="1">
      <c r="C37" s="153" t="s">
        <v>400</v>
      </c>
      <c r="D37" s="154"/>
      <c r="E37" s="154"/>
      <c r="G37" s="17">
        <v>4.125</v>
      </c>
    </row>
    <row r="38" spans="3:7" ht="10.5" customHeight="1">
      <c r="C38" s="153" t="s">
        <v>401</v>
      </c>
      <c r="D38" s="154"/>
      <c r="E38" s="154"/>
      <c r="G38" s="17">
        <v>6.525</v>
      </c>
    </row>
    <row r="39" spans="3:7" ht="10.5" customHeight="1">
      <c r="C39" s="153" t="s">
        <v>402</v>
      </c>
      <c r="D39" s="154"/>
      <c r="E39" s="154"/>
      <c r="G39" s="17">
        <v>0.48</v>
      </c>
    </row>
    <row r="40" spans="1:62" ht="12.75">
      <c r="A40" s="65" t="s">
        <v>16</v>
      </c>
      <c r="B40" s="65" t="s">
        <v>208</v>
      </c>
      <c r="C40" s="159" t="s">
        <v>403</v>
      </c>
      <c r="D40" s="152"/>
      <c r="E40" s="160"/>
      <c r="F40" s="65" t="s">
        <v>747</v>
      </c>
      <c r="G40" s="67">
        <v>30.237</v>
      </c>
      <c r="H40" s="67">
        <v>0</v>
      </c>
      <c r="I40" s="67">
        <f>G40*AO40</f>
        <v>0</v>
      </c>
      <c r="J40" s="67">
        <f>G40*AP40</f>
        <v>0</v>
      </c>
      <c r="K40" s="67">
        <f>G40*H40</f>
        <v>0</v>
      </c>
      <c r="L40" s="62" t="s">
        <v>775</v>
      </c>
      <c r="Z40" s="33">
        <f>IF(AQ40="5",BJ40,0)</f>
        <v>0</v>
      </c>
      <c r="AB40" s="33">
        <f>IF(AQ40="1",BH40,0)</f>
        <v>0</v>
      </c>
      <c r="AC40" s="33">
        <f>IF(AQ40="1",BI40,0)</f>
        <v>0</v>
      </c>
      <c r="AD40" s="33">
        <f>IF(AQ40="7",BH40,0)</f>
        <v>0</v>
      </c>
      <c r="AE40" s="33">
        <f>IF(AQ40="7",BI40,0)</f>
        <v>0</v>
      </c>
      <c r="AF40" s="33">
        <f>IF(AQ40="2",BH40,0)</f>
        <v>0</v>
      </c>
      <c r="AG40" s="33">
        <f>IF(AQ40="2",BI40,0)</f>
        <v>0</v>
      </c>
      <c r="AH40" s="33">
        <f>IF(AQ40="0",BJ40,0)</f>
        <v>0</v>
      </c>
      <c r="AI40" s="29"/>
      <c r="AJ40" s="16">
        <f>IF(AN40=0,K40,0)</f>
        <v>0</v>
      </c>
      <c r="AK40" s="16">
        <f>IF(AN40=15,K40,0)</f>
        <v>0</v>
      </c>
      <c r="AL40" s="16">
        <f>IF(AN40=21,K40,0)</f>
        <v>0</v>
      </c>
      <c r="AN40" s="33">
        <v>15</v>
      </c>
      <c r="AO40" s="33">
        <f>H40*0.10514979970966</f>
        <v>0</v>
      </c>
      <c r="AP40" s="33">
        <f>H40*(1-0.10514979970966)</f>
        <v>0</v>
      </c>
      <c r="AQ40" s="28" t="s">
        <v>7</v>
      </c>
      <c r="AV40" s="33">
        <f>AW40+AX40</f>
        <v>0</v>
      </c>
      <c r="AW40" s="33">
        <f>G40*AO40</f>
        <v>0</v>
      </c>
      <c r="AX40" s="33">
        <f>G40*AP40</f>
        <v>0</v>
      </c>
      <c r="AY40" s="34" t="s">
        <v>788</v>
      </c>
      <c r="AZ40" s="34" t="s">
        <v>813</v>
      </c>
      <c r="BA40" s="29" t="s">
        <v>820</v>
      </c>
      <c r="BC40" s="33">
        <f>AW40+AX40</f>
        <v>0</v>
      </c>
      <c r="BD40" s="33">
        <f>H40/(100-BE40)*100</f>
        <v>0</v>
      </c>
      <c r="BE40" s="33">
        <v>0</v>
      </c>
      <c r="BF40" s="33">
        <f>40</f>
        <v>40</v>
      </c>
      <c r="BH40" s="16">
        <f>G40*AO40</f>
        <v>0</v>
      </c>
      <c r="BI40" s="16">
        <f>G40*AP40</f>
        <v>0</v>
      </c>
      <c r="BJ40" s="16">
        <f>G40*H40</f>
        <v>0</v>
      </c>
    </row>
    <row r="41" spans="1:12" ht="10.5" customHeight="1">
      <c r="A41" s="69"/>
      <c r="B41" s="69"/>
      <c r="C41" s="161" t="s">
        <v>404</v>
      </c>
      <c r="D41" s="154"/>
      <c r="E41" s="162"/>
      <c r="F41" s="69"/>
      <c r="G41" s="70">
        <v>47.595</v>
      </c>
      <c r="H41" s="69"/>
      <c r="I41" s="69"/>
      <c r="J41" s="69"/>
      <c r="K41" s="69"/>
      <c r="L41" s="63"/>
    </row>
    <row r="42" spans="1:12" ht="10.5" customHeight="1">
      <c r="A42" s="69"/>
      <c r="B42" s="69"/>
      <c r="C42" s="161" t="s">
        <v>379</v>
      </c>
      <c r="D42" s="154"/>
      <c r="E42" s="162"/>
      <c r="F42" s="69"/>
      <c r="G42" s="70">
        <v>-2.73</v>
      </c>
      <c r="H42" s="69"/>
      <c r="I42" s="69"/>
      <c r="J42" s="69"/>
      <c r="K42" s="69"/>
      <c r="L42" s="63"/>
    </row>
    <row r="43" spans="1:12" ht="10.5" customHeight="1">
      <c r="A43" s="69"/>
      <c r="B43" s="69"/>
      <c r="C43" s="161" t="s">
        <v>385</v>
      </c>
      <c r="D43" s="154"/>
      <c r="E43" s="162"/>
      <c r="F43" s="69"/>
      <c r="G43" s="70">
        <v>3.363</v>
      </c>
      <c r="H43" s="69"/>
      <c r="I43" s="69"/>
      <c r="J43" s="69"/>
      <c r="K43" s="69"/>
      <c r="L43" s="63"/>
    </row>
    <row r="44" spans="1:12" ht="10.5" customHeight="1">
      <c r="A44" s="69"/>
      <c r="B44" s="69"/>
      <c r="C44" s="161" t="s">
        <v>387</v>
      </c>
      <c r="D44" s="154"/>
      <c r="E44" s="162"/>
      <c r="F44" s="69"/>
      <c r="G44" s="70">
        <v>3.135</v>
      </c>
      <c r="H44" s="69"/>
      <c r="I44" s="69"/>
      <c r="J44" s="69"/>
      <c r="K44" s="69"/>
      <c r="L44" s="63"/>
    </row>
    <row r="45" spans="1:12" ht="10.5" customHeight="1">
      <c r="A45" s="69"/>
      <c r="B45" s="69"/>
      <c r="C45" s="161" t="s">
        <v>405</v>
      </c>
      <c r="D45" s="154"/>
      <c r="E45" s="162"/>
      <c r="F45" s="69"/>
      <c r="G45" s="70">
        <v>-21.126</v>
      </c>
      <c r="H45" s="69"/>
      <c r="I45" s="69"/>
      <c r="J45" s="69"/>
      <c r="K45" s="69"/>
      <c r="L45" s="63"/>
    </row>
    <row r="46" spans="1:62" ht="12.75">
      <c r="A46" s="65" t="s">
        <v>17</v>
      </c>
      <c r="B46" s="65" t="s">
        <v>208</v>
      </c>
      <c r="C46" s="159" t="s">
        <v>406</v>
      </c>
      <c r="D46" s="152"/>
      <c r="E46" s="160"/>
      <c r="F46" s="65" t="s">
        <v>747</v>
      </c>
      <c r="G46" s="67">
        <v>93.30625</v>
      </c>
      <c r="H46" s="67">
        <v>0</v>
      </c>
      <c r="I46" s="67">
        <f>G46*AO46</f>
        <v>0</v>
      </c>
      <c r="J46" s="67">
        <f>G46*AP46</f>
        <v>0</v>
      </c>
      <c r="K46" s="67">
        <f>G46*H46</f>
        <v>0</v>
      </c>
      <c r="L46" s="62" t="s">
        <v>775</v>
      </c>
      <c r="Z46" s="33">
        <f>IF(AQ46="5",BJ46,0)</f>
        <v>0</v>
      </c>
      <c r="AB46" s="33">
        <f>IF(AQ46="1",BH46,0)</f>
        <v>0</v>
      </c>
      <c r="AC46" s="33">
        <f>IF(AQ46="1",BI46,0)</f>
        <v>0</v>
      </c>
      <c r="AD46" s="33">
        <f>IF(AQ46="7",BH46,0)</f>
        <v>0</v>
      </c>
      <c r="AE46" s="33">
        <f>IF(AQ46="7",BI46,0)</f>
        <v>0</v>
      </c>
      <c r="AF46" s="33">
        <f>IF(AQ46="2",BH46,0)</f>
        <v>0</v>
      </c>
      <c r="AG46" s="33">
        <f>IF(AQ46="2",BI46,0)</f>
        <v>0</v>
      </c>
      <c r="AH46" s="33">
        <f>IF(AQ46="0",BJ46,0)</f>
        <v>0</v>
      </c>
      <c r="AI46" s="29"/>
      <c r="AJ46" s="16">
        <f>IF(AN46=0,K46,0)</f>
        <v>0</v>
      </c>
      <c r="AK46" s="16">
        <f>IF(AN46=15,K46,0)</f>
        <v>0</v>
      </c>
      <c r="AL46" s="16">
        <f>IF(AN46=21,K46,0)</f>
        <v>0</v>
      </c>
      <c r="AN46" s="33">
        <v>15</v>
      </c>
      <c r="AO46" s="33">
        <f>H46*0</f>
        <v>0</v>
      </c>
      <c r="AP46" s="33">
        <f>H46*(1-0)</f>
        <v>0</v>
      </c>
      <c r="AQ46" s="28" t="s">
        <v>7</v>
      </c>
      <c r="AV46" s="33">
        <f>AW46+AX46</f>
        <v>0</v>
      </c>
      <c r="AW46" s="33">
        <f>G46*AO46</f>
        <v>0</v>
      </c>
      <c r="AX46" s="33">
        <f>G46*AP46</f>
        <v>0</v>
      </c>
      <c r="AY46" s="34" t="s">
        <v>788</v>
      </c>
      <c r="AZ46" s="34" t="s">
        <v>813</v>
      </c>
      <c r="BA46" s="29" t="s">
        <v>820</v>
      </c>
      <c r="BC46" s="33">
        <f>AW46+AX46</f>
        <v>0</v>
      </c>
      <c r="BD46" s="33">
        <f>H46/(100-BE46)*100</f>
        <v>0</v>
      </c>
      <c r="BE46" s="33">
        <v>0</v>
      </c>
      <c r="BF46" s="33">
        <f>46</f>
        <v>46</v>
      </c>
      <c r="BH46" s="16">
        <f>G46*AO46</f>
        <v>0</v>
      </c>
      <c r="BI46" s="16">
        <f>G46*AP46</f>
        <v>0</v>
      </c>
      <c r="BJ46" s="16">
        <f>G46*H46</f>
        <v>0</v>
      </c>
    </row>
    <row r="47" spans="1:12" ht="10.5" customHeight="1">
      <c r="A47" s="69"/>
      <c r="B47" s="69"/>
      <c r="C47" s="161" t="s">
        <v>407</v>
      </c>
      <c r="D47" s="154"/>
      <c r="E47" s="162"/>
      <c r="F47" s="69"/>
      <c r="G47" s="70">
        <v>98.76625</v>
      </c>
      <c r="H47" s="69"/>
      <c r="I47" s="69"/>
      <c r="J47" s="69"/>
      <c r="K47" s="69"/>
      <c r="L47" s="63"/>
    </row>
    <row r="48" spans="1:12" ht="10.5" customHeight="1">
      <c r="A48" s="66"/>
      <c r="B48" s="66"/>
      <c r="C48" s="163" t="s">
        <v>408</v>
      </c>
      <c r="D48" s="154"/>
      <c r="E48" s="164"/>
      <c r="F48" s="66"/>
      <c r="G48" s="68">
        <v>-5.46</v>
      </c>
      <c r="H48" s="66"/>
      <c r="I48" s="66"/>
      <c r="J48" s="66"/>
      <c r="K48" s="66"/>
      <c r="L48" s="64"/>
    </row>
    <row r="49" spans="1:62" ht="12.75">
      <c r="A49" s="4" t="s">
        <v>18</v>
      </c>
      <c r="B49" s="4" t="s">
        <v>209</v>
      </c>
      <c r="C49" s="151" t="s">
        <v>409</v>
      </c>
      <c r="D49" s="152"/>
      <c r="E49" s="152"/>
      <c r="F49" s="4" t="s">
        <v>749</v>
      </c>
      <c r="G49" s="16">
        <v>420</v>
      </c>
      <c r="H49" s="16">
        <v>0</v>
      </c>
      <c r="I49" s="16">
        <f>G49*AO49</f>
        <v>0</v>
      </c>
      <c r="J49" s="16">
        <f>G49*AP49</f>
        <v>0</v>
      </c>
      <c r="K49" s="16">
        <f>G49*H49</f>
        <v>0</v>
      </c>
      <c r="L49" s="28"/>
      <c r="Z49" s="33">
        <f>IF(AQ49="5",BJ49,0)</f>
        <v>0</v>
      </c>
      <c r="AB49" s="33">
        <f>IF(AQ49="1",BH49,0)</f>
        <v>0</v>
      </c>
      <c r="AC49" s="33">
        <f>IF(AQ49="1",BI49,0)</f>
        <v>0</v>
      </c>
      <c r="AD49" s="33">
        <f>IF(AQ49="7",BH49,0)</f>
        <v>0</v>
      </c>
      <c r="AE49" s="33">
        <f>IF(AQ49="7",BI49,0)</f>
        <v>0</v>
      </c>
      <c r="AF49" s="33">
        <f>IF(AQ49="2",BH49,0)</f>
        <v>0</v>
      </c>
      <c r="AG49" s="33">
        <f>IF(AQ49="2",BI49,0)</f>
        <v>0</v>
      </c>
      <c r="AH49" s="33">
        <f>IF(AQ49="0",BJ49,0)</f>
        <v>0</v>
      </c>
      <c r="AI49" s="29"/>
      <c r="AJ49" s="16">
        <f>IF(AN49=0,K49,0)</f>
        <v>0</v>
      </c>
      <c r="AK49" s="16">
        <f>IF(AN49=15,K49,0)</f>
        <v>0</v>
      </c>
      <c r="AL49" s="16">
        <f>IF(AN49=21,K49,0)</f>
        <v>0</v>
      </c>
      <c r="AN49" s="33">
        <v>15</v>
      </c>
      <c r="AO49" s="33">
        <f>H49*0</f>
        <v>0</v>
      </c>
      <c r="AP49" s="33">
        <f>H49*(1-0)</f>
        <v>0</v>
      </c>
      <c r="AQ49" s="28" t="s">
        <v>7</v>
      </c>
      <c r="AV49" s="33">
        <f>AW49+AX49</f>
        <v>0</v>
      </c>
      <c r="AW49" s="33">
        <f>G49*AO49</f>
        <v>0</v>
      </c>
      <c r="AX49" s="33">
        <f>G49*AP49</f>
        <v>0</v>
      </c>
      <c r="AY49" s="34" t="s">
        <v>788</v>
      </c>
      <c r="AZ49" s="34" t="s">
        <v>813</v>
      </c>
      <c r="BA49" s="29" t="s">
        <v>820</v>
      </c>
      <c r="BC49" s="33">
        <f>AW49+AX49</f>
        <v>0</v>
      </c>
      <c r="BD49" s="33">
        <f>H49/(100-BE49)*100</f>
        <v>0</v>
      </c>
      <c r="BE49" s="33">
        <v>0</v>
      </c>
      <c r="BF49" s="33">
        <f>49</f>
        <v>49</v>
      </c>
      <c r="BH49" s="16">
        <f>G49*AO49</f>
        <v>0</v>
      </c>
      <c r="BI49" s="16">
        <f>G49*AP49</f>
        <v>0</v>
      </c>
      <c r="BJ49" s="16">
        <f>G49*H49</f>
        <v>0</v>
      </c>
    </row>
    <row r="50" spans="3:5" ht="12.75">
      <c r="C50" s="155" t="s">
        <v>410</v>
      </c>
      <c r="D50" s="156"/>
      <c r="E50" s="156"/>
    </row>
    <row r="51" spans="3:7" ht="10.5" customHeight="1">
      <c r="C51" s="153" t="s">
        <v>411</v>
      </c>
      <c r="D51" s="154"/>
      <c r="E51" s="154"/>
      <c r="G51" s="17">
        <v>420</v>
      </c>
    </row>
    <row r="52" spans="1:47" ht="12.75">
      <c r="A52" s="5"/>
      <c r="B52" s="13" t="s">
        <v>69</v>
      </c>
      <c r="C52" s="157" t="s">
        <v>412</v>
      </c>
      <c r="D52" s="158"/>
      <c r="E52" s="158"/>
      <c r="F52" s="5" t="s">
        <v>6</v>
      </c>
      <c r="G52" s="5" t="s">
        <v>6</v>
      </c>
      <c r="H52" s="5" t="s">
        <v>6</v>
      </c>
      <c r="I52" s="36">
        <f>SUM(I53:I61)</f>
        <v>0</v>
      </c>
      <c r="J52" s="36">
        <f>SUM(J53:J61)</f>
        <v>0</v>
      </c>
      <c r="K52" s="36">
        <f>SUM(K53:K61)</f>
        <v>0</v>
      </c>
      <c r="L52" s="29"/>
      <c r="AI52" s="29"/>
      <c r="AS52" s="36">
        <f>SUM(AJ53:AJ61)</f>
        <v>0</v>
      </c>
      <c r="AT52" s="36">
        <f>SUM(AK53:AK61)</f>
        <v>0</v>
      </c>
      <c r="AU52" s="36">
        <f>SUM(AL53:AL61)</f>
        <v>0</v>
      </c>
    </row>
    <row r="53" spans="1:62" ht="12.75">
      <c r="A53" s="4" t="s">
        <v>19</v>
      </c>
      <c r="B53" s="4" t="s">
        <v>210</v>
      </c>
      <c r="C53" s="151" t="s">
        <v>413</v>
      </c>
      <c r="D53" s="152"/>
      <c r="E53" s="152"/>
      <c r="F53" s="4" t="s">
        <v>747</v>
      </c>
      <c r="G53" s="16">
        <v>25.8213</v>
      </c>
      <c r="H53" s="16">
        <v>0</v>
      </c>
      <c r="I53" s="16">
        <f>G53*AO53</f>
        <v>0</v>
      </c>
      <c r="J53" s="16">
        <f>G53*AP53</f>
        <v>0</v>
      </c>
      <c r="K53" s="16">
        <f>G53*H53</f>
        <v>0</v>
      </c>
      <c r="L53" s="28" t="s">
        <v>775</v>
      </c>
      <c r="Z53" s="33">
        <f>IF(AQ53="5",BJ53,0)</f>
        <v>0</v>
      </c>
      <c r="AB53" s="33">
        <f>IF(AQ53="1",BH53,0)</f>
        <v>0</v>
      </c>
      <c r="AC53" s="33">
        <f>IF(AQ53="1",BI53,0)</f>
        <v>0</v>
      </c>
      <c r="AD53" s="33">
        <f>IF(AQ53="7",BH53,0)</f>
        <v>0</v>
      </c>
      <c r="AE53" s="33">
        <f>IF(AQ53="7",BI53,0)</f>
        <v>0</v>
      </c>
      <c r="AF53" s="33">
        <f>IF(AQ53="2",BH53,0)</f>
        <v>0</v>
      </c>
      <c r="AG53" s="33">
        <f>IF(AQ53="2",BI53,0)</f>
        <v>0</v>
      </c>
      <c r="AH53" s="33">
        <f>IF(AQ53="0",BJ53,0)</f>
        <v>0</v>
      </c>
      <c r="AI53" s="29"/>
      <c r="AJ53" s="16">
        <f>IF(AN53=0,K53,0)</f>
        <v>0</v>
      </c>
      <c r="AK53" s="16">
        <f>IF(AN53=15,K53,0)</f>
        <v>0</v>
      </c>
      <c r="AL53" s="16">
        <f>IF(AN53=21,K53,0)</f>
        <v>0</v>
      </c>
      <c r="AN53" s="33">
        <v>15</v>
      </c>
      <c r="AO53" s="33">
        <f>H53*0.4986724730978</f>
        <v>0</v>
      </c>
      <c r="AP53" s="33">
        <f>H53*(1-0.4986724730978)</f>
        <v>0</v>
      </c>
      <c r="AQ53" s="28" t="s">
        <v>7</v>
      </c>
      <c r="AV53" s="33">
        <f>AW53+AX53</f>
        <v>0</v>
      </c>
      <c r="AW53" s="33">
        <f>G53*AO53</f>
        <v>0</v>
      </c>
      <c r="AX53" s="33">
        <f>G53*AP53</f>
        <v>0</v>
      </c>
      <c r="AY53" s="34" t="s">
        <v>789</v>
      </c>
      <c r="AZ53" s="34" t="s">
        <v>813</v>
      </c>
      <c r="BA53" s="29" t="s">
        <v>820</v>
      </c>
      <c r="BC53" s="33">
        <f>AW53+AX53</f>
        <v>0</v>
      </c>
      <c r="BD53" s="33">
        <f>H53/(100-BE53)*100</f>
        <v>0</v>
      </c>
      <c r="BE53" s="33">
        <v>0</v>
      </c>
      <c r="BF53" s="33">
        <f>53</f>
        <v>53</v>
      </c>
      <c r="BH53" s="16">
        <f>G53*AO53</f>
        <v>0</v>
      </c>
      <c r="BI53" s="16">
        <f>G53*AP53</f>
        <v>0</v>
      </c>
      <c r="BJ53" s="16">
        <f>G53*H53</f>
        <v>0</v>
      </c>
    </row>
    <row r="54" spans="3:7" ht="10.5" customHeight="1">
      <c r="C54" s="153" t="s">
        <v>414</v>
      </c>
      <c r="D54" s="154"/>
      <c r="E54" s="154"/>
      <c r="G54" s="17">
        <v>13.6713</v>
      </c>
    </row>
    <row r="55" spans="3:7" ht="10.5" customHeight="1">
      <c r="C55" s="153" t="s">
        <v>415</v>
      </c>
      <c r="D55" s="154"/>
      <c r="E55" s="154"/>
      <c r="G55" s="17">
        <v>12.15</v>
      </c>
    </row>
    <row r="56" spans="1:62" ht="12.75">
      <c r="A56" s="6" t="s">
        <v>20</v>
      </c>
      <c r="B56" s="6" t="s">
        <v>211</v>
      </c>
      <c r="C56" s="165" t="s">
        <v>416</v>
      </c>
      <c r="D56" s="166"/>
      <c r="E56" s="166"/>
      <c r="F56" s="6" t="s">
        <v>747</v>
      </c>
      <c r="G56" s="18">
        <v>1.96172</v>
      </c>
      <c r="H56" s="18">
        <v>0</v>
      </c>
      <c r="I56" s="18">
        <f>G56*AO56</f>
        <v>0</v>
      </c>
      <c r="J56" s="18">
        <f>G56*AP56</f>
        <v>0</v>
      </c>
      <c r="K56" s="18">
        <f>G56*H56</f>
        <v>0</v>
      </c>
      <c r="L56" s="30" t="s">
        <v>775</v>
      </c>
      <c r="Z56" s="33">
        <f>IF(AQ56="5",BJ56,0)</f>
        <v>0</v>
      </c>
      <c r="AB56" s="33">
        <f>IF(AQ56="1",BH56,0)</f>
        <v>0</v>
      </c>
      <c r="AC56" s="33">
        <f>IF(AQ56="1",BI56,0)</f>
        <v>0</v>
      </c>
      <c r="AD56" s="33">
        <f>IF(AQ56="7",BH56,0)</f>
        <v>0</v>
      </c>
      <c r="AE56" s="33">
        <f>IF(AQ56="7",BI56,0)</f>
        <v>0</v>
      </c>
      <c r="AF56" s="33">
        <f>IF(AQ56="2",BH56,0)</f>
        <v>0</v>
      </c>
      <c r="AG56" s="33">
        <f>IF(AQ56="2",BI56,0)</f>
        <v>0</v>
      </c>
      <c r="AH56" s="33">
        <f>IF(AQ56="0",BJ56,0)</f>
        <v>0</v>
      </c>
      <c r="AI56" s="29"/>
      <c r="AJ56" s="18">
        <f>IF(AN56=0,K56,0)</f>
        <v>0</v>
      </c>
      <c r="AK56" s="18">
        <f>IF(AN56=15,K56,0)</f>
        <v>0</v>
      </c>
      <c r="AL56" s="18">
        <f>IF(AN56=21,K56,0)</f>
        <v>0</v>
      </c>
      <c r="AN56" s="33">
        <v>15</v>
      </c>
      <c r="AO56" s="33">
        <f>H56*1</f>
        <v>0</v>
      </c>
      <c r="AP56" s="33">
        <f>H56*(1-1)</f>
        <v>0</v>
      </c>
      <c r="AQ56" s="30" t="s">
        <v>7</v>
      </c>
      <c r="AV56" s="33">
        <f>AW56+AX56</f>
        <v>0</v>
      </c>
      <c r="AW56" s="33">
        <f>G56*AO56</f>
        <v>0</v>
      </c>
      <c r="AX56" s="33">
        <f>G56*AP56</f>
        <v>0</v>
      </c>
      <c r="AY56" s="34" t="s">
        <v>789</v>
      </c>
      <c r="AZ56" s="34" t="s">
        <v>813</v>
      </c>
      <c r="BA56" s="29" t="s">
        <v>820</v>
      </c>
      <c r="BC56" s="33">
        <f>AW56+AX56</f>
        <v>0</v>
      </c>
      <c r="BD56" s="33">
        <f>H56/(100-BE56)*100</f>
        <v>0</v>
      </c>
      <c r="BE56" s="33">
        <v>0</v>
      </c>
      <c r="BF56" s="33">
        <f>56</f>
        <v>56</v>
      </c>
      <c r="BH56" s="18">
        <f>G56*AO56</f>
        <v>0</v>
      </c>
      <c r="BI56" s="18">
        <f>G56*AP56</f>
        <v>0</v>
      </c>
      <c r="BJ56" s="18">
        <f>G56*H56</f>
        <v>0</v>
      </c>
    </row>
    <row r="57" spans="3:7" ht="10.5" customHeight="1">
      <c r="C57" s="153" t="s">
        <v>417</v>
      </c>
      <c r="D57" s="154"/>
      <c r="E57" s="154"/>
      <c r="G57" s="17">
        <v>1.8683</v>
      </c>
    </row>
    <row r="58" spans="3:7" ht="10.5" customHeight="1">
      <c r="C58" s="153" t="s">
        <v>418</v>
      </c>
      <c r="D58" s="154"/>
      <c r="E58" s="154"/>
      <c r="G58" s="17">
        <v>0.09342</v>
      </c>
    </row>
    <row r="59" spans="1:62" ht="12.75">
      <c r="A59" s="4" t="s">
        <v>21</v>
      </c>
      <c r="B59" s="4" t="s">
        <v>212</v>
      </c>
      <c r="C59" s="151" t="s">
        <v>419</v>
      </c>
      <c r="D59" s="152"/>
      <c r="E59" s="152"/>
      <c r="F59" s="4" t="s">
        <v>750</v>
      </c>
      <c r="G59" s="16">
        <v>0.13078</v>
      </c>
      <c r="H59" s="16">
        <v>0</v>
      </c>
      <c r="I59" s="16">
        <f>G59*AO59</f>
        <v>0</v>
      </c>
      <c r="J59" s="16">
        <f>G59*AP59</f>
        <v>0</v>
      </c>
      <c r="K59" s="16">
        <f>G59*H59</f>
        <v>0</v>
      </c>
      <c r="L59" s="28" t="s">
        <v>775</v>
      </c>
      <c r="Z59" s="33">
        <f>IF(AQ59="5",BJ59,0)</f>
        <v>0</v>
      </c>
      <c r="AB59" s="33">
        <f>IF(AQ59="1",BH59,0)</f>
        <v>0</v>
      </c>
      <c r="AC59" s="33">
        <f>IF(AQ59="1",BI59,0)</f>
        <v>0</v>
      </c>
      <c r="AD59" s="33">
        <f>IF(AQ59="7",BH59,0)</f>
        <v>0</v>
      </c>
      <c r="AE59" s="33">
        <f>IF(AQ59="7",BI59,0)</f>
        <v>0</v>
      </c>
      <c r="AF59" s="33">
        <f>IF(AQ59="2",BH59,0)</f>
        <v>0</v>
      </c>
      <c r="AG59" s="33">
        <f>IF(AQ59="2",BI59,0)</f>
        <v>0</v>
      </c>
      <c r="AH59" s="33">
        <f>IF(AQ59="0",BJ59,0)</f>
        <v>0</v>
      </c>
      <c r="AI59" s="29"/>
      <c r="AJ59" s="16">
        <f>IF(AN59=0,K59,0)</f>
        <v>0</v>
      </c>
      <c r="AK59" s="16">
        <f>IF(AN59=15,K59,0)</f>
        <v>0</v>
      </c>
      <c r="AL59" s="16">
        <f>IF(AN59=21,K59,0)</f>
        <v>0</v>
      </c>
      <c r="AN59" s="33">
        <v>15</v>
      </c>
      <c r="AO59" s="33">
        <f>H59*0.644712963500488</f>
        <v>0</v>
      </c>
      <c r="AP59" s="33">
        <f>H59*(1-0.644712963500488)</f>
        <v>0</v>
      </c>
      <c r="AQ59" s="28" t="s">
        <v>7</v>
      </c>
      <c r="AV59" s="33">
        <f>AW59+AX59</f>
        <v>0</v>
      </c>
      <c r="AW59" s="33">
        <f>G59*AO59</f>
        <v>0</v>
      </c>
      <c r="AX59" s="33">
        <f>G59*AP59</f>
        <v>0</v>
      </c>
      <c r="AY59" s="34" t="s">
        <v>789</v>
      </c>
      <c r="AZ59" s="34" t="s">
        <v>813</v>
      </c>
      <c r="BA59" s="29" t="s">
        <v>820</v>
      </c>
      <c r="BC59" s="33">
        <f>AW59+AX59</f>
        <v>0</v>
      </c>
      <c r="BD59" s="33">
        <f>H59/(100-BE59)*100</f>
        <v>0</v>
      </c>
      <c r="BE59" s="33">
        <v>0</v>
      </c>
      <c r="BF59" s="33">
        <f>59</f>
        <v>59</v>
      </c>
      <c r="BH59" s="16">
        <f>G59*AO59</f>
        <v>0</v>
      </c>
      <c r="BI59" s="16">
        <f>G59*AP59</f>
        <v>0</v>
      </c>
      <c r="BJ59" s="16">
        <f>G59*H59</f>
        <v>0</v>
      </c>
    </row>
    <row r="60" spans="3:7" ht="10.5" customHeight="1">
      <c r="C60" s="153" t="s">
        <v>420</v>
      </c>
      <c r="D60" s="154"/>
      <c r="E60" s="154"/>
      <c r="G60" s="17">
        <v>0.13078</v>
      </c>
    </row>
    <row r="61" spans="1:62" ht="12.75">
      <c r="A61" s="4" t="s">
        <v>22</v>
      </c>
      <c r="B61" s="4" t="s">
        <v>213</v>
      </c>
      <c r="C61" s="151" t="s">
        <v>421</v>
      </c>
      <c r="D61" s="152"/>
      <c r="E61" s="152"/>
      <c r="F61" s="4" t="s">
        <v>751</v>
      </c>
      <c r="G61" s="16">
        <v>0.00859</v>
      </c>
      <c r="H61" s="16">
        <v>0</v>
      </c>
      <c r="I61" s="16">
        <f>G61*AO61</f>
        <v>0</v>
      </c>
      <c r="J61" s="16">
        <f>G61*AP61</f>
        <v>0</v>
      </c>
      <c r="K61" s="16">
        <f>G61*H61</f>
        <v>0</v>
      </c>
      <c r="L61" s="28" t="s">
        <v>775</v>
      </c>
      <c r="Z61" s="33">
        <f>IF(AQ61="5",BJ61,0)</f>
        <v>0</v>
      </c>
      <c r="AB61" s="33">
        <f>IF(AQ61="1",BH61,0)</f>
        <v>0</v>
      </c>
      <c r="AC61" s="33">
        <f>IF(AQ61="1",BI61,0)</f>
        <v>0</v>
      </c>
      <c r="AD61" s="33">
        <f>IF(AQ61="7",BH61,0)</f>
        <v>0</v>
      </c>
      <c r="AE61" s="33">
        <f>IF(AQ61="7",BI61,0)</f>
        <v>0</v>
      </c>
      <c r="AF61" s="33">
        <f>IF(AQ61="2",BH61,0)</f>
        <v>0</v>
      </c>
      <c r="AG61" s="33">
        <f>IF(AQ61="2",BI61,0)</f>
        <v>0</v>
      </c>
      <c r="AH61" s="33">
        <f>IF(AQ61="0",BJ61,0)</f>
        <v>0</v>
      </c>
      <c r="AI61" s="29"/>
      <c r="AJ61" s="16">
        <f>IF(AN61=0,K61,0)</f>
        <v>0</v>
      </c>
      <c r="AK61" s="16">
        <f>IF(AN61=15,K61,0)</f>
        <v>0</v>
      </c>
      <c r="AL61" s="16">
        <f>IF(AN61=21,K61,0)</f>
        <v>0</v>
      </c>
      <c r="AN61" s="33">
        <v>15</v>
      </c>
      <c r="AO61" s="33">
        <f>H61*0.808168969940399</f>
        <v>0</v>
      </c>
      <c r="AP61" s="33">
        <f>H61*(1-0.808168969940399)</f>
        <v>0</v>
      </c>
      <c r="AQ61" s="28" t="s">
        <v>7</v>
      </c>
      <c r="AV61" s="33">
        <f>AW61+AX61</f>
        <v>0</v>
      </c>
      <c r="AW61" s="33">
        <f>G61*AO61</f>
        <v>0</v>
      </c>
      <c r="AX61" s="33">
        <f>G61*AP61</f>
        <v>0</v>
      </c>
      <c r="AY61" s="34" t="s">
        <v>789</v>
      </c>
      <c r="AZ61" s="34" t="s">
        <v>813</v>
      </c>
      <c r="BA61" s="29" t="s">
        <v>820</v>
      </c>
      <c r="BC61" s="33">
        <f>AW61+AX61</f>
        <v>0</v>
      </c>
      <c r="BD61" s="33">
        <f>H61/(100-BE61)*100</f>
        <v>0</v>
      </c>
      <c r="BE61" s="33">
        <v>0</v>
      </c>
      <c r="BF61" s="33">
        <f>61</f>
        <v>61</v>
      </c>
      <c r="BH61" s="16">
        <f>G61*AO61</f>
        <v>0</v>
      </c>
      <c r="BI61" s="16">
        <f>G61*AP61</f>
        <v>0</v>
      </c>
      <c r="BJ61" s="16">
        <f>G61*H61</f>
        <v>0</v>
      </c>
    </row>
    <row r="62" spans="3:5" ht="12.75">
      <c r="C62" s="155" t="s">
        <v>422</v>
      </c>
      <c r="D62" s="156"/>
      <c r="E62" s="156"/>
    </row>
    <row r="63" spans="3:7" ht="10.5" customHeight="1">
      <c r="C63" s="153" t="s">
        <v>423</v>
      </c>
      <c r="D63" s="154"/>
      <c r="E63" s="154"/>
      <c r="G63" s="17">
        <v>0.00859</v>
      </c>
    </row>
    <row r="64" spans="1:47" ht="12.75">
      <c r="A64" s="5"/>
      <c r="B64" s="13" t="s">
        <v>70</v>
      </c>
      <c r="C64" s="157" t="s">
        <v>424</v>
      </c>
      <c r="D64" s="158"/>
      <c r="E64" s="158"/>
      <c r="F64" s="5" t="s">
        <v>6</v>
      </c>
      <c r="G64" s="5" t="s">
        <v>6</v>
      </c>
      <c r="H64" s="5" t="s">
        <v>6</v>
      </c>
      <c r="I64" s="36">
        <f>SUM(I65:I65)</f>
        <v>0</v>
      </c>
      <c r="J64" s="36">
        <f>SUM(J65:J65)</f>
        <v>0</v>
      </c>
      <c r="K64" s="36">
        <f>SUM(K65:K65)</f>
        <v>0</v>
      </c>
      <c r="L64" s="29"/>
      <c r="AI64" s="29"/>
      <c r="AS64" s="36">
        <f>SUM(AJ65:AJ65)</f>
        <v>0</v>
      </c>
      <c r="AT64" s="36">
        <f>SUM(AK65:AK65)</f>
        <v>0</v>
      </c>
      <c r="AU64" s="36">
        <f>SUM(AL65:AL65)</f>
        <v>0</v>
      </c>
    </row>
    <row r="65" spans="1:62" ht="12.75">
      <c r="A65" s="4" t="s">
        <v>23</v>
      </c>
      <c r="B65" s="4" t="s">
        <v>214</v>
      </c>
      <c r="C65" s="151" t="s">
        <v>425</v>
      </c>
      <c r="D65" s="152"/>
      <c r="E65" s="152"/>
      <c r="F65" s="4" t="s">
        <v>748</v>
      </c>
      <c r="G65" s="16">
        <v>2</v>
      </c>
      <c r="H65" s="16">
        <v>0</v>
      </c>
      <c r="I65" s="16">
        <f>G65*AO65</f>
        <v>0</v>
      </c>
      <c r="J65" s="16">
        <f>G65*AP65</f>
        <v>0</v>
      </c>
      <c r="K65" s="16">
        <f>G65*H65</f>
        <v>0</v>
      </c>
      <c r="L65" s="28" t="s">
        <v>775</v>
      </c>
      <c r="Z65" s="33">
        <f>IF(AQ65="5",BJ65,0)</f>
        <v>0</v>
      </c>
      <c r="AB65" s="33">
        <f>IF(AQ65="1",BH65,0)</f>
        <v>0</v>
      </c>
      <c r="AC65" s="33">
        <f>IF(AQ65="1",BI65,0)</f>
        <v>0</v>
      </c>
      <c r="AD65" s="33">
        <f>IF(AQ65="7",BH65,0)</f>
        <v>0</v>
      </c>
      <c r="AE65" s="33">
        <f>IF(AQ65="7",BI65,0)</f>
        <v>0</v>
      </c>
      <c r="AF65" s="33">
        <f>IF(AQ65="2",BH65,0)</f>
        <v>0</v>
      </c>
      <c r="AG65" s="33">
        <f>IF(AQ65="2",BI65,0)</f>
        <v>0</v>
      </c>
      <c r="AH65" s="33">
        <f>IF(AQ65="0",BJ65,0)</f>
        <v>0</v>
      </c>
      <c r="AI65" s="29"/>
      <c r="AJ65" s="16">
        <f>IF(AN65=0,K65,0)</f>
        <v>0</v>
      </c>
      <c r="AK65" s="16">
        <f>IF(AN65=15,K65,0)</f>
        <v>0</v>
      </c>
      <c r="AL65" s="16">
        <f>IF(AN65=21,K65,0)</f>
        <v>0</v>
      </c>
      <c r="AN65" s="33">
        <v>15</v>
      </c>
      <c r="AO65" s="33">
        <f>H65*0.52000566572238</f>
        <v>0</v>
      </c>
      <c r="AP65" s="33">
        <f>H65*(1-0.52000566572238)</f>
        <v>0</v>
      </c>
      <c r="AQ65" s="28" t="s">
        <v>7</v>
      </c>
      <c r="AV65" s="33">
        <f>AW65+AX65</f>
        <v>0</v>
      </c>
      <c r="AW65" s="33">
        <f>G65*AO65</f>
        <v>0</v>
      </c>
      <c r="AX65" s="33">
        <f>G65*AP65</f>
        <v>0</v>
      </c>
      <c r="AY65" s="34" t="s">
        <v>790</v>
      </c>
      <c r="AZ65" s="34" t="s">
        <v>813</v>
      </c>
      <c r="BA65" s="29" t="s">
        <v>820</v>
      </c>
      <c r="BC65" s="33">
        <f>AW65+AX65</f>
        <v>0</v>
      </c>
      <c r="BD65" s="33">
        <f>H65/(100-BE65)*100</f>
        <v>0</v>
      </c>
      <c r="BE65" s="33">
        <v>0</v>
      </c>
      <c r="BF65" s="33">
        <f>65</f>
        <v>65</v>
      </c>
      <c r="BH65" s="16">
        <f>G65*AO65</f>
        <v>0</v>
      </c>
      <c r="BI65" s="16">
        <f>G65*AP65</f>
        <v>0</v>
      </c>
      <c r="BJ65" s="16">
        <f>G65*H65</f>
        <v>0</v>
      </c>
    </row>
    <row r="66" spans="3:5" ht="12.75">
      <c r="C66" s="155" t="s">
        <v>426</v>
      </c>
      <c r="D66" s="156"/>
      <c r="E66" s="156"/>
    </row>
    <row r="67" spans="3:7" ht="10.5" customHeight="1">
      <c r="C67" s="153" t="s">
        <v>382</v>
      </c>
      <c r="D67" s="154"/>
      <c r="E67" s="154"/>
      <c r="G67" s="17">
        <v>2</v>
      </c>
    </row>
    <row r="68" spans="1:47" ht="12.75">
      <c r="A68" s="5"/>
      <c r="B68" s="13" t="s">
        <v>215</v>
      </c>
      <c r="C68" s="157" t="s">
        <v>427</v>
      </c>
      <c r="D68" s="158"/>
      <c r="E68" s="158"/>
      <c r="F68" s="5" t="s">
        <v>6</v>
      </c>
      <c r="G68" s="5" t="s">
        <v>6</v>
      </c>
      <c r="H68" s="5" t="s">
        <v>6</v>
      </c>
      <c r="I68" s="36">
        <f>SUM(I69:I69)</f>
        <v>0</v>
      </c>
      <c r="J68" s="36">
        <f>SUM(J69:J69)</f>
        <v>0</v>
      </c>
      <c r="K68" s="36">
        <f>SUM(K69:K69)</f>
        <v>0</v>
      </c>
      <c r="L68" s="29"/>
      <c r="AI68" s="29"/>
      <c r="AS68" s="36">
        <f>SUM(AJ69:AJ69)</f>
        <v>0</v>
      </c>
      <c r="AT68" s="36">
        <f>SUM(AK69:AK69)</f>
        <v>0</v>
      </c>
      <c r="AU68" s="36">
        <f>SUM(AL69:AL69)</f>
        <v>0</v>
      </c>
    </row>
    <row r="69" spans="1:62" ht="12.75">
      <c r="A69" s="4" t="s">
        <v>24</v>
      </c>
      <c r="B69" s="4" t="s">
        <v>216</v>
      </c>
      <c r="C69" s="151" t="s">
        <v>428</v>
      </c>
      <c r="D69" s="152"/>
      <c r="E69" s="152"/>
      <c r="F69" s="4" t="s">
        <v>752</v>
      </c>
      <c r="G69" s="16">
        <v>1</v>
      </c>
      <c r="H69" s="16">
        <v>0</v>
      </c>
      <c r="I69" s="16">
        <f>G69*AO69</f>
        <v>0</v>
      </c>
      <c r="J69" s="16">
        <f>G69*AP69</f>
        <v>0</v>
      </c>
      <c r="K69" s="16">
        <f>G69*H69</f>
        <v>0</v>
      </c>
      <c r="L69" s="28" t="s">
        <v>775</v>
      </c>
      <c r="Z69" s="33">
        <f>IF(AQ69="5",BJ69,0)</f>
        <v>0</v>
      </c>
      <c r="AB69" s="33">
        <f>IF(AQ69="1",BH69,0)</f>
        <v>0</v>
      </c>
      <c r="AC69" s="33">
        <f>IF(AQ69="1",BI69,0)</f>
        <v>0</v>
      </c>
      <c r="AD69" s="33">
        <f>IF(AQ69="7",BH69,0)</f>
        <v>0</v>
      </c>
      <c r="AE69" s="33">
        <f>IF(AQ69="7",BI69,0)</f>
        <v>0</v>
      </c>
      <c r="AF69" s="33">
        <f>IF(AQ69="2",BH69,0)</f>
        <v>0</v>
      </c>
      <c r="AG69" s="33">
        <f>IF(AQ69="2",BI69,0)</f>
        <v>0</v>
      </c>
      <c r="AH69" s="33">
        <f>IF(AQ69="0",BJ69,0)</f>
        <v>0</v>
      </c>
      <c r="AI69" s="29"/>
      <c r="AJ69" s="16">
        <f>IF(AN69=0,K69,0)</f>
        <v>0</v>
      </c>
      <c r="AK69" s="16">
        <f>IF(AN69=15,K69,0)</f>
        <v>0</v>
      </c>
      <c r="AL69" s="16">
        <f>IF(AN69=21,K69,0)</f>
        <v>0</v>
      </c>
      <c r="AN69" s="33">
        <v>15</v>
      </c>
      <c r="AO69" s="33">
        <f>H69*0</f>
        <v>0</v>
      </c>
      <c r="AP69" s="33">
        <f>H69*(1-0)</f>
        <v>0</v>
      </c>
      <c r="AQ69" s="28" t="s">
        <v>13</v>
      </c>
      <c r="AV69" s="33">
        <f>AW69+AX69</f>
        <v>0</v>
      </c>
      <c r="AW69" s="33">
        <f>G69*AO69</f>
        <v>0</v>
      </c>
      <c r="AX69" s="33">
        <f>G69*AP69</f>
        <v>0</v>
      </c>
      <c r="AY69" s="34" t="s">
        <v>791</v>
      </c>
      <c r="AZ69" s="34" t="s">
        <v>814</v>
      </c>
      <c r="BA69" s="29" t="s">
        <v>820</v>
      </c>
      <c r="BC69" s="33">
        <f>AW69+AX69</f>
        <v>0</v>
      </c>
      <c r="BD69" s="33">
        <f>H69/(100-BE69)*100</f>
        <v>0</v>
      </c>
      <c r="BE69" s="33">
        <v>0</v>
      </c>
      <c r="BF69" s="33">
        <f>69</f>
        <v>69</v>
      </c>
      <c r="BH69" s="16">
        <f>G69*AO69</f>
        <v>0</v>
      </c>
      <c r="BI69" s="16">
        <f>G69*AP69</f>
        <v>0</v>
      </c>
      <c r="BJ69" s="16">
        <f>G69*H69</f>
        <v>0</v>
      </c>
    </row>
    <row r="70" spans="3:7" ht="10.5" customHeight="1">
      <c r="C70" s="153" t="s">
        <v>429</v>
      </c>
      <c r="D70" s="154"/>
      <c r="E70" s="154"/>
      <c r="G70" s="17">
        <v>1</v>
      </c>
    </row>
    <row r="71" spans="1:47" ht="12.75">
      <c r="A71" s="5"/>
      <c r="B71" s="13" t="s">
        <v>217</v>
      </c>
      <c r="C71" s="157" t="s">
        <v>430</v>
      </c>
      <c r="D71" s="158"/>
      <c r="E71" s="158"/>
      <c r="F71" s="5" t="s">
        <v>6</v>
      </c>
      <c r="G71" s="5" t="s">
        <v>6</v>
      </c>
      <c r="H71" s="5" t="s">
        <v>6</v>
      </c>
      <c r="I71" s="36">
        <f>SUM(I72:I72)</f>
        <v>0</v>
      </c>
      <c r="J71" s="36">
        <f>SUM(J72:J72)</f>
        <v>0</v>
      </c>
      <c r="K71" s="36">
        <f>SUM(K72:K72)</f>
        <v>0</v>
      </c>
      <c r="L71" s="29"/>
      <c r="AI71" s="29"/>
      <c r="AS71" s="36">
        <f>SUM(AJ72:AJ72)</f>
        <v>0</v>
      </c>
      <c r="AT71" s="36">
        <f>SUM(AK72:AK72)</f>
        <v>0</v>
      </c>
      <c r="AU71" s="36">
        <f>SUM(AL72:AL72)</f>
        <v>0</v>
      </c>
    </row>
    <row r="72" spans="1:62" ht="12.75">
      <c r="A72" s="4" t="s">
        <v>25</v>
      </c>
      <c r="B72" s="4" t="s">
        <v>218</v>
      </c>
      <c r="C72" s="151" t="s">
        <v>431</v>
      </c>
      <c r="D72" s="152"/>
      <c r="E72" s="152"/>
      <c r="F72" s="4" t="s">
        <v>752</v>
      </c>
      <c r="G72" s="16">
        <v>1</v>
      </c>
      <c r="H72" s="16">
        <v>0</v>
      </c>
      <c r="I72" s="16">
        <f>G72*AO72</f>
        <v>0</v>
      </c>
      <c r="J72" s="16">
        <f>G72*AP72</f>
        <v>0</v>
      </c>
      <c r="K72" s="16">
        <f>G72*H72</f>
        <v>0</v>
      </c>
      <c r="L72" s="28" t="s">
        <v>775</v>
      </c>
      <c r="Z72" s="33">
        <f>IF(AQ72="5",BJ72,0)</f>
        <v>0</v>
      </c>
      <c r="AB72" s="33">
        <f>IF(AQ72="1",BH72,0)</f>
        <v>0</v>
      </c>
      <c r="AC72" s="33">
        <f>IF(AQ72="1",BI72,0)</f>
        <v>0</v>
      </c>
      <c r="AD72" s="33">
        <f>IF(AQ72="7",BH72,0)</f>
        <v>0</v>
      </c>
      <c r="AE72" s="33">
        <f>IF(AQ72="7",BI72,0)</f>
        <v>0</v>
      </c>
      <c r="AF72" s="33">
        <f>IF(AQ72="2",BH72,0)</f>
        <v>0</v>
      </c>
      <c r="AG72" s="33">
        <f>IF(AQ72="2",BI72,0)</f>
        <v>0</v>
      </c>
      <c r="AH72" s="33">
        <f>IF(AQ72="0",BJ72,0)</f>
        <v>0</v>
      </c>
      <c r="AI72" s="29"/>
      <c r="AJ72" s="16">
        <f>IF(AN72=0,K72,0)</f>
        <v>0</v>
      </c>
      <c r="AK72" s="16">
        <f>IF(AN72=15,K72,0)</f>
        <v>0</v>
      </c>
      <c r="AL72" s="16">
        <f>IF(AN72=21,K72,0)</f>
        <v>0</v>
      </c>
      <c r="AN72" s="33">
        <v>15</v>
      </c>
      <c r="AO72" s="33">
        <f>H72*0</f>
        <v>0</v>
      </c>
      <c r="AP72" s="33">
        <f>H72*(1-0)</f>
        <v>0</v>
      </c>
      <c r="AQ72" s="28" t="s">
        <v>13</v>
      </c>
      <c r="AV72" s="33">
        <f>AW72+AX72</f>
        <v>0</v>
      </c>
      <c r="AW72" s="33">
        <f>G72*AO72</f>
        <v>0</v>
      </c>
      <c r="AX72" s="33">
        <f>G72*AP72</f>
        <v>0</v>
      </c>
      <c r="AY72" s="34" t="s">
        <v>792</v>
      </c>
      <c r="AZ72" s="34" t="s">
        <v>814</v>
      </c>
      <c r="BA72" s="29" t="s">
        <v>820</v>
      </c>
      <c r="BC72" s="33">
        <f>AW72+AX72</f>
        <v>0</v>
      </c>
      <c r="BD72" s="33">
        <f>H72/(100-BE72)*100</f>
        <v>0</v>
      </c>
      <c r="BE72" s="33">
        <v>0</v>
      </c>
      <c r="BF72" s="33">
        <f>72</f>
        <v>72</v>
      </c>
      <c r="BH72" s="16">
        <f>G72*AO72</f>
        <v>0</v>
      </c>
      <c r="BI72" s="16">
        <f>G72*AP72</f>
        <v>0</v>
      </c>
      <c r="BJ72" s="16">
        <f>G72*H72</f>
        <v>0</v>
      </c>
    </row>
    <row r="73" spans="3:7" ht="10.5" customHeight="1">
      <c r="C73" s="153" t="s">
        <v>429</v>
      </c>
      <c r="D73" s="154"/>
      <c r="E73" s="154"/>
      <c r="G73" s="17">
        <v>1</v>
      </c>
    </row>
    <row r="74" spans="1:47" ht="12.75">
      <c r="A74" s="5"/>
      <c r="B74" s="13" t="s">
        <v>219</v>
      </c>
      <c r="C74" s="157" t="s">
        <v>432</v>
      </c>
      <c r="D74" s="158"/>
      <c r="E74" s="158"/>
      <c r="F74" s="5" t="s">
        <v>6</v>
      </c>
      <c r="G74" s="5" t="s">
        <v>6</v>
      </c>
      <c r="H74" s="5" t="s">
        <v>6</v>
      </c>
      <c r="I74" s="36">
        <f>SUM(I75:I75)</f>
        <v>0</v>
      </c>
      <c r="J74" s="36">
        <f>SUM(J75:J75)</f>
        <v>0</v>
      </c>
      <c r="K74" s="36">
        <f>SUM(K75:K75)</f>
        <v>0</v>
      </c>
      <c r="L74" s="29"/>
      <c r="AI74" s="29"/>
      <c r="AS74" s="36">
        <f>SUM(AJ75:AJ75)</f>
        <v>0</v>
      </c>
      <c r="AT74" s="36">
        <f>SUM(AK75:AK75)</f>
        <v>0</v>
      </c>
      <c r="AU74" s="36">
        <f>SUM(AL75:AL75)</f>
        <v>0</v>
      </c>
    </row>
    <row r="75" spans="1:62" ht="12.75">
      <c r="A75" s="4" t="s">
        <v>26</v>
      </c>
      <c r="B75" s="4" t="s">
        <v>220</v>
      </c>
      <c r="C75" s="151" t="s">
        <v>433</v>
      </c>
      <c r="D75" s="152"/>
      <c r="E75" s="152"/>
      <c r="F75" s="4" t="s">
        <v>752</v>
      </c>
      <c r="G75" s="16">
        <v>1</v>
      </c>
      <c r="H75" s="16">
        <v>0</v>
      </c>
      <c r="I75" s="16">
        <f>G75*AO75</f>
        <v>0</v>
      </c>
      <c r="J75" s="16">
        <f>G75*AP75</f>
        <v>0</v>
      </c>
      <c r="K75" s="16">
        <f>G75*H75</f>
        <v>0</v>
      </c>
      <c r="L75" s="28" t="s">
        <v>775</v>
      </c>
      <c r="Z75" s="33">
        <f>IF(AQ75="5",BJ75,0)</f>
        <v>0</v>
      </c>
      <c r="AB75" s="33">
        <f>IF(AQ75="1",BH75,0)</f>
        <v>0</v>
      </c>
      <c r="AC75" s="33">
        <f>IF(AQ75="1",BI75,0)</f>
        <v>0</v>
      </c>
      <c r="AD75" s="33">
        <f>IF(AQ75="7",BH75,0)</f>
        <v>0</v>
      </c>
      <c r="AE75" s="33">
        <f>IF(AQ75="7",BI75,0)</f>
        <v>0</v>
      </c>
      <c r="AF75" s="33">
        <f>IF(AQ75="2",BH75,0)</f>
        <v>0</v>
      </c>
      <c r="AG75" s="33">
        <f>IF(AQ75="2",BI75,0)</f>
        <v>0</v>
      </c>
      <c r="AH75" s="33">
        <f>IF(AQ75="0",BJ75,0)</f>
        <v>0</v>
      </c>
      <c r="AI75" s="29"/>
      <c r="AJ75" s="16">
        <f>IF(AN75=0,K75,0)</f>
        <v>0</v>
      </c>
      <c r="AK75" s="16">
        <f>IF(AN75=15,K75,0)</f>
        <v>0</v>
      </c>
      <c r="AL75" s="16">
        <f>IF(AN75=21,K75,0)</f>
        <v>0</v>
      </c>
      <c r="AN75" s="33">
        <v>15</v>
      </c>
      <c r="AO75" s="33">
        <f>H75*0</f>
        <v>0</v>
      </c>
      <c r="AP75" s="33">
        <f>H75*(1-0)</f>
        <v>0</v>
      </c>
      <c r="AQ75" s="28" t="s">
        <v>13</v>
      </c>
      <c r="AV75" s="33">
        <f>AW75+AX75</f>
        <v>0</v>
      </c>
      <c r="AW75" s="33">
        <f>G75*AO75</f>
        <v>0</v>
      </c>
      <c r="AX75" s="33">
        <f>G75*AP75</f>
        <v>0</v>
      </c>
      <c r="AY75" s="34" t="s">
        <v>793</v>
      </c>
      <c r="AZ75" s="34" t="s">
        <v>814</v>
      </c>
      <c r="BA75" s="29" t="s">
        <v>820</v>
      </c>
      <c r="BC75" s="33">
        <f>AW75+AX75</f>
        <v>0</v>
      </c>
      <c r="BD75" s="33">
        <f>H75/(100-BE75)*100</f>
        <v>0</v>
      </c>
      <c r="BE75" s="33">
        <v>0</v>
      </c>
      <c r="BF75" s="33">
        <f>75</f>
        <v>75</v>
      </c>
      <c r="BH75" s="16">
        <f>G75*AO75</f>
        <v>0</v>
      </c>
      <c r="BI75" s="16">
        <f>G75*AP75</f>
        <v>0</v>
      </c>
      <c r="BJ75" s="16">
        <f>G75*H75</f>
        <v>0</v>
      </c>
    </row>
    <row r="76" spans="3:7" ht="10.5" customHeight="1">
      <c r="C76" s="153" t="s">
        <v>429</v>
      </c>
      <c r="D76" s="154"/>
      <c r="E76" s="154"/>
      <c r="G76" s="17">
        <v>1</v>
      </c>
    </row>
    <row r="77" spans="1:47" ht="12.75">
      <c r="A77" s="5"/>
      <c r="B77" s="13" t="s">
        <v>221</v>
      </c>
      <c r="C77" s="157" t="s">
        <v>434</v>
      </c>
      <c r="D77" s="158"/>
      <c r="E77" s="158"/>
      <c r="F77" s="5" t="s">
        <v>6</v>
      </c>
      <c r="G77" s="5" t="s">
        <v>6</v>
      </c>
      <c r="H77" s="5" t="s">
        <v>6</v>
      </c>
      <c r="I77" s="36">
        <f>SUM(I78:I103)</f>
        <v>0</v>
      </c>
      <c r="J77" s="36">
        <f>SUM(J78:J103)</f>
        <v>0</v>
      </c>
      <c r="K77" s="36">
        <f>SUM(K78:K103)</f>
        <v>0</v>
      </c>
      <c r="L77" s="29"/>
      <c r="AI77" s="29"/>
      <c r="AS77" s="36">
        <f>SUM(AJ78:AJ103)</f>
        <v>0</v>
      </c>
      <c r="AT77" s="36">
        <f>SUM(AK78:AK103)</f>
        <v>0</v>
      </c>
      <c r="AU77" s="36">
        <f>SUM(AL78:AL103)</f>
        <v>0</v>
      </c>
    </row>
    <row r="78" spans="1:62" ht="12.75">
      <c r="A78" s="4" t="s">
        <v>27</v>
      </c>
      <c r="B78" s="4" t="s">
        <v>222</v>
      </c>
      <c r="C78" s="151" t="s">
        <v>435</v>
      </c>
      <c r="D78" s="152"/>
      <c r="E78" s="152"/>
      <c r="F78" s="4" t="s">
        <v>753</v>
      </c>
      <c r="G78" s="16">
        <v>1</v>
      </c>
      <c r="H78" s="16">
        <v>0</v>
      </c>
      <c r="I78" s="16">
        <f>G78*AO78</f>
        <v>0</v>
      </c>
      <c r="J78" s="16">
        <f>G78*AP78</f>
        <v>0</v>
      </c>
      <c r="K78" s="16">
        <f>G78*H78</f>
        <v>0</v>
      </c>
      <c r="L78" s="28" t="s">
        <v>775</v>
      </c>
      <c r="Z78" s="33">
        <f>IF(AQ78="5",BJ78,0)</f>
        <v>0</v>
      </c>
      <c r="AB78" s="33">
        <f>IF(AQ78="1",BH78,0)</f>
        <v>0</v>
      </c>
      <c r="AC78" s="33">
        <f>IF(AQ78="1",BI78,0)</f>
        <v>0</v>
      </c>
      <c r="AD78" s="33">
        <f>IF(AQ78="7",BH78,0)</f>
        <v>0</v>
      </c>
      <c r="AE78" s="33">
        <f>IF(AQ78="7",BI78,0)</f>
        <v>0</v>
      </c>
      <c r="AF78" s="33">
        <f>IF(AQ78="2",BH78,0)</f>
        <v>0</v>
      </c>
      <c r="AG78" s="33">
        <f>IF(AQ78="2",BI78,0)</f>
        <v>0</v>
      </c>
      <c r="AH78" s="33">
        <f>IF(AQ78="0",BJ78,0)</f>
        <v>0</v>
      </c>
      <c r="AI78" s="29"/>
      <c r="AJ78" s="16">
        <f>IF(AN78=0,K78,0)</f>
        <v>0</v>
      </c>
      <c r="AK78" s="16">
        <f>IF(AN78=15,K78,0)</f>
        <v>0</v>
      </c>
      <c r="AL78" s="16">
        <f>IF(AN78=21,K78,0)</f>
        <v>0</v>
      </c>
      <c r="AN78" s="33">
        <v>15</v>
      </c>
      <c r="AO78" s="33">
        <f>H78*0.386647454370797</f>
        <v>0</v>
      </c>
      <c r="AP78" s="33">
        <f>H78*(1-0.386647454370797)</f>
        <v>0</v>
      </c>
      <c r="AQ78" s="28" t="s">
        <v>13</v>
      </c>
      <c r="AV78" s="33">
        <f>AW78+AX78</f>
        <v>0</v>
      </c>
      <c r="AW78" s="33">
        <f>G78*AO78</f>
        <v>0</v>
      </c>
      <c r="AX78" s="33">
        <f>G78*AP78</f>
        <v>0</v>
      </c>
      <c r="AY78" s="34" t="s">
        <v>794</v>
      </c>
      <c r="AZ78" s="34" t="s">
        <v>814</v>
      </c>
      <c r="BA78" s="29" t="s">
        <v>820</v>
      </c>
      <c r="BC78" s="33">
        <f>AW78+AX78</f>
        <v>0</v>
      </c>
      <c r="BD78" s="33">
        <f>H78/(100-BE78)*100</f>
        <v>0</v>
      </c>
      <c r="BE78" s="33">
        <v>0</v>
      </c>
      <c r="BF78" s="33">
        <f>78</f>
        <v>78</v>
      </c>
      <c r="BH78" s="16">
        <f>G78*AO78</f>
        <v>0</v>
      </c>
      <c r="BI78" s="16">
        <f>G78*AP78</f>
        <v>0</v>
      </c>
      <c r="BJ78" s="16">
        <f>G78*H78</f>
        <v>0</v>
      </c>
    </row>
    <row r="79" spans="1:62" ht="12.75">
      <c r="A79" s="6" t="s">
        <v>28</v>
      </c>
      <c r="B79" s="6" t="s">
        <v>223</v>
      </c>
      <c r="C79" s="165" t="s">
        <v>436</v>
      </c>
      <c r="D79" s="166"/>
      <c r="E79" s="166"/>
      <c r="F79" s="6" t="s">
        <v>748</v>
      </c>
      <c r="G79" s="18">
        <v>1</v>
      </c>
      <c r="H79" s="18">
        <v>0</v>
      </c>
      <c r="I79" s="18">
        <f>G79*AO79</f>
        <v>0</v>
      </c>
      <c r="J79" s="18">
        <f>G79*AP79</f>
        <v>0</v>
      </c>
      <c r="K79" s="18">
        <f>G79*H79</f>
        <v>0</v>
      </c>
      <c r="L79" s="30" t="s">
        <v>775</v>
      </c>
      <c r="Z79" s="33">
        <f>IF(AQ79="5",BJ79,0)</f>
        <v>0</v>
      </c>
      <c r="AB79" s="33">
        <f>IF(AQ79="1",BH79,0)</f>
        <v>0</v>
      </c>
      <c r="AC79" s="33">
        <f>IF(AQ79="1",BI79,0)</f>
        <v>0</v>
      </c>
      <c r="AD79" s="33">
        <f>IF(AQ79="7",BH79,0)</f>
        <v>0</v>
      </c>
      <c r="AE79" s="33">
        <f>IF(AQ79="7",BI79,0)</f>
        <v>0</v>
      </c>
      <c r="AF79" s="33">
        <f>IF(AQ79="2",BH79,0)</f>
        <v>0</v>
      </c>
      <c r="AG79" s="33">
        <f>IF(AQ79="2",BI79,0)</f>
        <v>0</v>
      </c>
      <c r="AH79" s="33">
        <f>IF(AQ79="0",BJ79,0)</f>
        <v>0</v>
      </c>
      <c r="AI79" s="29"/>
      <c r="AJ79" s="18">
        <f>IF(AN79=0,K79,0)</f>
        <v>0</v>
      </c>
      <c r="AK79" s="18">
        <f>IF(AN79=15,K79,0)</f>
        <v>0</v>
      </c>
      <c r="AL79" s="18">
        <f>IF(AN79=21,K79,0)</f>
        <v>0</v>
      </c>
      <c r="AN79" s="33">
        <v>15</v>
      </c>
      <c r="AO79" s="33">
        <f>H79*1</f>
        <v>0</v>
      </c>
      <c r="AP79" s="33">
        <f>H79*(1-1)</f>
        <v>0</v>
      </c>
      <c r="AQ79" s="30" t="s">
        <v>13</v>
      </c>
      <c r="AV79" s="33">
        <f>AW79+AX79</f>
        <v>0</v>
      </c>
      <c r="AW79" s="33">
        <f>G79*AO79</f>
        <v>0</v>
      </c>
      <c r="AX79" s="33">
        <f>G79*AP79</f>
        <v>0</v>
      </c>
      <c r="AY79" s="34" t="s">
        <v>794</v>
      </c>
      <c r="AZ79" s="34" t="s">
        <v>814</v>
      </c>
      <c r="BA79" s="29" t="s">
        <v>820</v>
      </c>
      <c r="BC79" s="33">
        <f>AW79+AX79</f>
        <v>0</v>
      </c>
      <c r="BD79" s="33">
        <f>H79/(100-BE79)*100</f>
        <v>0</v>
      </c>
      <c r="BE79" s="33">
        <v>0</v>
      </c>
      <c r="BF79" s="33">
        <f>79</f>
        <v>79</v>
      </c>
      <c r="BH79" s="18">
        <f>G79*AO79</f>
        <v>0</v>
      </c>
      <c r="BI79" s="18">
        <f>G79*AP79</f>
        <v>0</v>
      </c>
      <c r="BJ79" s="18">
        <f>G79*H79</f>
        <v>0</v>
      </c>
    </row>
    <row r="80" spans="3:7" ht="10.5" customHeight="1">
      <c r="C80" s="153" t="s">
        <v>429</v>
      </c>
      <c r="D80" s="154"/>
      <c r="E80" s="154"/>
      <c r="G80" s="17">
        <v>1</v>
      </c>
    </row>
    <row r="81" spans="1:62" ht="12.75">
      <c r="A81" s="4" t="s">
        <v>29</v>
      </c>
      <c r="B81" s="4" t="s">
        <v>224</v>
      </c>
      <c r="C81" s="151" t="s">
        <v>437</v>
      </c>
      <c r="D81" s="152"/>
      <c r="E81" s="152"/>
      <c r="F81" s="4" t="s">
        <v>748</v>
      </c>
      <c r="G81" s="16">
        <v>1</v>
      </c>
      <c r="H81" s="16">
        <v>0</v>
      </c>
      <c r="I81" s="16">
        <f>G81*AO81</f>
        <v>0</v>
      </c>
      <c r="J81" s="16">
        <f>G81*AP81</f>
        <v>0</v>
      </c>
      <c r="K81" s="16">
        <f>G81*H81</f>
        <v>0</v>
      </c>
      <c r="L81" s="28" t="s">
        <v>775</v>
      </c>
      <c r="Z81" s="33">
        <f>IF(AQ81="5",BJ81,0)</f>
        <v>0</v>
      </c>
      <c r="AB81" s="33">
        <f>IF(AQ81="1",BH81,0)</f>
        <v>0</v>
      </c>
      <c r="AC81" s="33">
        <f>IF(AQ81="1",BI81,0)</f>
        <v>0</v>
      </c>
      <c r="AD81" s="33">
        <f>IF(AQ81="7",BH81,0)</f>
        <v>0</v>
      </c>
      <c r="AE81" s="33">
        <f>IF(AQ81="7",BI81,0)</f>
        <v>0</v>
      </c>
      <c r="AF81" s="33">
        <f>IF(AQ81="2",BH81,0)</f>
        <v>0</v>
      </c>
      <c r="AG81" s="33">
        <f>IF(AQ81="2",BI81,0)</f>
        <v>0</v>
      </c>
      <c r="AH81" s="33">
        <f>IF(AQ81="0",BJ81,0)</f>
        <v>0</v>
      </c>
      <c r="AI81" s="29"/>
      <c r="AJ81" s="16">
        <f>IF(AN81=0,K81,0)</f>
        <v>0</v>
      </c>
      <c r="AK81" s="16">
        <f>IF(AN81=15,K81,0)</f>
        <v>0</v>
      </c>
      <c r="AL81" s="16">
        <f>IF(AN81=21,K81,0)</f>
        <v>0</v>
      </c>
      <c r="AN81" s="33">
        <v>15</v>
      </c>
      <c r="AO81" s="33">
        <f>H81*0.00856164383561644</f>
        <v>0</v>
      </c>
      <c r="AP81" s="33">
        <f>H81*(1-0.00856164383561644)</f>
        <v>0</v>
      </c>
      <c r="AQ81" s="28" t="s">
        <v>13</v>
      </c>
      <c r="AV81" s="33">
        <f>AW81+AX81</f>
        <v>0</v>
      </c>
      <c r="AW81" s="33">
        <f>G81*AO81</f>
        <v>0</v>
      </c>
      <c r="AX81" s="33">
        <f>G81*AP81</f>
        <v>0</v>
      </c>
      <c r="AY81" s="34" t="s">
        <v>794</v>
      </c>
      <c r="AZ81" s="34" t="s">
        <v>814</v>
      </c>
      <c r="BA81" s="29" t="s">
        <v>820</v>
      </c>
      <c r="BC81" s="33">
        <f>AW81+AX81</f>
        <v>0</v>
      </c>
      <c r="BD81" s="33">
        <f>H81/(100-BE81)*100</f>
        <v>0</v>
      </c>
      <c r="BE81" s="33">
        <v>0</v>
      </c>
      <c r="BF81" s="33">
        <f>81</f>
        <v>81</v>
      </c>
      <c r="BH81" s="16">
        <f>G81*AO81</f>
        <v>0</v>
      </c>
      <c r="BI81" s="16">
        <f>G81*AP81</f>
        <v>0</v>
      </c>
      <c r="BJ81" s="16">
        <f>G81*H81</f>
        <v>0</v>
      </c>
    </row>
    <row r="82" spans="3:7" ht="10.5" customHeight="1">
      <c r="C82" s="153" t="s">
        <v>429</v>
      </c>
      <c r="D82" s="154"/>
      <c r="E82" s="154"/>
      <c r="G82" s="17">
        <v>1</v>
      </c>
    </row>
    <row r="83" spans="1:62" ht="12.75">
      <c r="A83" s="6" t="s">
        <v>30</v>
      </c>
      <c r="B83" s="6" t="s">
        <v>225</v>
      </c>
      <c r="C83" s="165" t="s">
        <v>438</v>
      </c>
      <c r="D83" s="166"/>
      <c r="E83" s="166"/>
      <c r="F83" s="6" t="s">
        <v>748</v>
      </c>
      <c r="G83" s="18">
        <v>1</v>
      </c>
      <c r="H83" s="18">
        <v>0</v>
      </c>
      <c r="I83" s="18">
        <f>G83*AO83</f>
        <v>0</v>
      </c>
      <c r="J83" s="18">
        <f>G83*AP83</f>
        <v>0</v>
      </c>
      <c r="K83" s="18">
        <f>G83*H83</f>
        <v>0</v>
      </c>
      <c r="L83" s="30" t="s">
        <v>775</v>
      </c>
      <c r="Z83" s="33">
        <f>IF(AQ83="5",BJ83,0)</f>
        <v>0</v>
      </c>
      <c r="AB83" s="33">
        <f>IF(AQ83="1",BH83,0)</f>
        <v>0</v>
      </c>
      <c r="AC83" s="33">
        <f>IF(AQ83="1",BI83,0)</f>
        <v>0</v>
      </c>
      <c r="AD83" s="33">
        <f>IF(AQ83="7",BH83,0)</f>
        <v>0</v>
      </c>
      <c r="AE83" s="33">
        <f>IF(AQ83="7",BI83,0)</f>
        <v>0</v>
      </c>
      <c r="AF83" s="33">
        <f>IF(AQ83="2",BH83,0)</f>
        <v>0</v>
      </c>
      <c r="AG83" s="33">
        <f>IF(AQ83="2",BI83,0)</f>
        <v>0</v>
      </c>
      <c r="AH83" s="33">
        <f>IF(AQ83="0",BJ83,0)</f>
        <v>0</v>
      </c>
      <c r="AI83" s="29"/>
      <c r="AJ83" s="18">
        <f>IF(AN83=0,K83,0)</f>
        <v>0</v>
      </c>
      <c r="AK83" s="18">
        <f>IF(AN83=15,K83,0)</f>
        <v>0</v>
      </c>
      <c r="AL83" s="18">
        <f>IF(AN83=21,K83,0)</f>
        <v>0</v>
      </c>
      <c r="AN83" s="33">
        <v>15</v>
      </c>
      <c r="AO83" s="33">
        <f>H83*1</f>
        <v>0</v>
      </c>
      <c r="AP83" s="33">
        <f>H83*(1-1)</f>
        <v>0</v>
      </c>
      <c r="AQ83" s="30" t="s">
        <v>13</v>
      </c>
      <c r="AV83" s="33">
        <f>AW83+AX83</f>
        <v>0</v>
      </c>
      <c r="AW83" s="33">
        <f>G83*AO83</f>
        <v>0</v>
      </c>
      <c r="AX83" s="33">
        <f>G83*AP83</f>
        <v>0</v>
      </c>
      <c r="AY83" s="34" t="s">
        <v>794</v>
      </c>
      <c r="AZ83" s="34" t="s">
        <v>814</v>
      </c>
      <c r="BA83" s="29" t="s">
        <v>820</v>
      </c>
      <c r="BC83" s="33">
        <f>AW83+AX83</f>
        <v>0</v>
      </c>
      <c r="BD83" s="33">
        <f>H83/(100-BE83)*100</f>
        <v>0</v>
      </c>
      <c r="BE83" s="33">
        <v>0</v>
      </c>
      <c r="BF83" s="33">
        <f>83</f>
        <v>83</v>
      </c>
      <c r="BH83" s="18">
        <f>G83*AO83</f>
        <v>0</v>
      </c>
      <c r="BI83" s="18">
        <f>G83*AP83</f>
        <v>0</v>
      </c>
      <c r="BJ83" s="18">
        <f>G83*H83</f>
        <v>0</v>
      </c>
    </row>
    <row r="84" spans="3:7" ht="10.5" customHeight="1">
      <c r="C84" s="153" t="s">
        <v>429</v>
      </c>
      <c r="D84" s="154"/>
      <c r="E84" s="154"/>
      <c r="G84" s="17">
        <v>1</v>
      </c>
    </row>
    <row r="85" spans="1:62" ht="12.75">
      <c r="A85" s="4" t="s">
        <v>31</v>
      </c>
      <c r="B85" s="4" t="s">
        <v>226</v>
      </c>
      <c r="C85" s="151" t="s">
        <v>439</v>
      </c>
      <c r="D85" s="152"/>
      <c r="E85" s="152"/>
      <c r="F85" s="4" t="s">
        <v>753</v>
      </c>
      <c r="G85" s="16">
        <v>2</v>
      </c>
      <c r="H85" s="16">
        <v>0</v>
      </c>
      <c r="I85" s="16">
        <f>G85*AO85</f>
        <v>0</v>
      </c>
      <c r="J85" s="16">
        <f>G85*AP85</f>
        <v>0</v>
      </c>
      <c r="K85" s="16">
        <f>G85*H85</f>
        <v>0</v>
      </c>
      <c r="L85" s="28" t="s">
        <v>775</v>
      </c>
      <c r="Z85" s="33">
        <f>IF(AQ85="5",BJ85,0)</f>
        <v>0</v>
      </c>
      <c r="AB85" s="33">
        <f>IF(AQ85="1",BH85,0)</f>
        <v>0</v>
      </c>
      <c r="AC85" s="33">
        <f>IF(AQ85="1",BI85,0)</f>
        <v>0</v>
      </c>
      <c r="AD85" s="33">
        <f>IF(AQ85="7",BH85,0)</f>
        <v>0</v>
      </c>
      <c r="AE85" s="33">
        <f>IF(AQ85="7",BI85,0)</f>
        <v>0</v>
      </c>
      <c r="AF85" s="33">
        <f>IF(AQ85="2",BH85,0)</f>
        <v>0</v>
      </c>
      <c r="AG85" s="33">
        <f>IF(AQ85="2",BI85,0)</f>
        <v>0</v>
      </c>
      <c r="AH85" s="33">
        <f>IF(AQ85="0",BJ85,0)</f>
        <v>0</v>
      </c>
      <c r="AI85" s="29"/>
      <c r="AJ85" s="16">
        <f>IF(AN85=0,K85,0)</f>
        <v>0</v>
      </c>
      <c r="AK85" s="16">
        <f>IF(AN85=15,K85,0)</f>
        <v>0</v>
      </c>
      <c r="AL85" s="16">
        <f>IF(AN85=21,K85,0)</f>
        <v>0</v>
      </c>
      <c r="AN85" s="33">
        <v>15</v>
      </c>
      <c r="AO85" s="33">
        <f>H85*0.114926108374384</f>
        <v>0</v>
      </c>
      <c r="AP85" s="33">
        <f>H85*(1-0.114926108374384)</f>
        <v>0</v>
      </c>
      <c r="AQ85" s="28" t="s">
        <v>13</v>
      </c>
      <c r="AV85" s="33">
        <f>AW85+AX85</f>
        <v>0</v>
      </c>
      <c r="AW85" s="33">
        <f>G85*AO85</f>
        <v>0</v>
      </c>
      <c r="AX85" s="33">
        <f>G85*AP85</f>
        <v>0</v>
      </c>
      <c r="AY85" s="34" t="s">
        <v>794</v>
      </c>
      <c r="AZ85" s="34" t="s">
        <v>814</v>
      </c>
      <c r="BA85" s="29" t="s">
        <v>820</v>
      </c>
      <c r="BC85" s="33">
        <f>AW85+AX85</f>
        <v>0</v>
      </c>
      <c r="BD85" s="33">
        <f>H85/(100-BE85)*100</f>
        <v>0</v>
      </c>
      <c r="BE85" s="33">
        <v>0</v>
      </c>
      <c r="BF85" s="33">
        <f>85</f>
        <v>85</v>
      </c>
      <c r="BH85" s="16">
        <f>G85*AO85</f>
        <v>0</v>
      </c>
      <c r="BI85" s="16">
        <f>G85*AP85</f>
        <v>0</v>
      </c>
      <c r="BJ85" s="16">
        <f>G85*H85</f>
        <v>0</v>
      </c>
    </row>
    <row r="86" spans="1:62" ht="12.75">
      <c r="A86" s="6" t="s">
        <v>32</v>
      </c>
      <c r="B86" s="6" t="s">
        <v>227</v>
      </c>
      <c r="C86" s="165" t="s">
        <v>440</v>
      </c>
      <c r="D86" s="166"/>
      <c r="E86" s="166"/>
      <c r="F86" s="6" t="s">
        <v>748</v>
      </c>
      <c r="G86" s="18">
        <v>1</v>
      </c>
      <c r="H86" s="18">
        <v>0</v>
      </c>
      <c r="I86" s="18">
        <f>G86*AO86</f>
        <v>0</v>
      </c>
      <c r="J86" s="18">
        <f>G86*AP86</f>
        <v>0</v>
      </c>
      <c r="K86" s="18">
        <f>G86*H86</f>
        <v>0</v>
      </c>
      <c r="L86" s="30" t="s">
        <v>775</v>
      </c>
      <c r="Z86" s="33">
        <f>IF(AQ86="5",BJ86,0)</f>
        <v>0</v>
      </c>
      <c r="AB86" s="33">
        <f>IF(AQ86="1",BH86,0)</f>
        <v>0</v>
      </c>
      <c r="AC86" s="33">
        <f>IF(AQ86="1",BI86,0)</f>
        <v>0</v>
      </c>
      <c r="AD86" s="33">
        <f>IF(AQ86="7",BH86,0)</f>
        <v>0</v>
      </c>
      <c r="AE86" s="33">
        <f>IF(AQ86="7",BI86,0)</f>
        <v>0</v>
      </c>
      <c r="AF86" s="33">
        <f>IF(AQ86="2",BH86,0)</f>
        <v>0</v>
      </c>
      <c r="AG86" s="33">
        <f>IF(AQ86="2",BI86,0)</f>
        <v>0</v>
      </c>
      <c r="AH86" s="33">
        <f>IF(AQ86="0",BJ86,0)</f>
        <v>0</v>
      </c>
      <c r="AI86" s="29"/>
      <c r="AJ86" s="18">
        <f>IF(AN86=0,K86,0)</f>
        <v>0</v>
      </c>
      <c r="AK86" s="18">
        <f>IF(AN86=15,K86,0)</f>
        <v>0</v>
      </c>
      <c r="AL86" s="18">
        <f>IF(AN86=21,K86,0)</f>
        <v>0</v>
      </c>
      <c r="AN86" s="33">
        <v>15</v>
      </c>
      <c r="AO86" s="33">
        <f>H86*1</f>
        <v>0</v>
      </c>
      <c r="AP86" s="33">
        <f>H86*(1-1)</f>
        <v>0</v>
      </c>
      <c r="AQ86" s="30" t="s">
        <v>13</v>
      </c>
      <c r="AV86" s="33">
        <f>AW86+AX86</f>
        <v>0</v>
      </c>
      <c r="AW86" s="33">
        <f>G86*AO86</f>
        <v>0</v>
      </c>
      <c r="AX86" s="33">
        <f>G86*AP86</f>
        <v>0</v>
      </c>
      <c r="AY86" s="34" t="s">
        <v>794</v>
      </c>
      <c r="AZ86" s="34" t="s">
        <v>814</v>
      </c>
      <c r="BA86" s="29" t="s">
        <v>820</v>
      </c>
      <c r="BC86" s="33">
        <f>AW86+AX86</f>
        <v>0</v>
      </c>
      <c r="BD86" s="33">
        <f>H86/(100-BE86)*100</f>
        <v>0</v>
      </c>
      <c r="BE86" s="33">
        <v>0</v>
      </c>
      <c r="BF86" s="33">
        <f>86</f>
        <v>86</v>
      </c>
      <c r="BH86" s="18">
        <f>G86*AO86</f>
        <v>0</v>
      </c>
      <c r="BI86" s="18">
        <f>G86*AP86</f>
        <v>0</v>
      </c>
      <c r="BJ86" s="18">
        <f>G86*H86</f>
        <v>0</v>
      </c>
    </row>
    <row r="87" spans="3:7" ht="10.5" customHeight="1">
      <c r="C87" s="153" t="s">
        <v>429</v>
      </c>
      <c r="D87" s="154"/>
      <c r="E87" s="154"/>
      <c r="G87" s="17">
        <v>1</v>
      </c>
    </row>
    <row r="88" spans="1:62" ht="12.75">
      <c r="A88" s="6" t="s">
        <v>33</v>
      </c>
      <c r="B88" s="6" t="s">
        <v>228</v>
      </c>
      <c r="C88" s="165" t="s">
        <v>441</v>
      </c>
      <c r="D88" s="166"/>
      <c r="E88" s="166"/>
      <c r="F88" s="6" t="s">
        <v>748</v>
      </c>
      <c r="G88" s="18">
        <v>1</v>
      </c>
      <c r="H88" s="18">
        <v>0</v>
      </c>
      <c r="I88" s="18">
        <f>G88*AO88</f>
        <v>0</v>
      </c>
      <c r="J88" s="18">
        <f>G88*AP88</f>
        <v>0</v>
      </c>
      <c r="K88" s="18">
        <f>G88*H88</f>
        <v>0</v>
      </c>
      <c r="L88" s="30" t="s">
        <v>775</v>
      </c>
      <c r="Z88" s="33">
        <f>IF(AQ88="5",BJ88,0)</f>
        <v>0</v>
      </c>
      <c r="AB88" s="33">
        <f>IF(AQ88="1",BH88,0)</f>
        <v>0</v>
      </c>
      <c r="AC88" s="33">
        <f>IF(AQ88="1",BI88,0)</f>
        <v>0</v>
      </c>
      <c r="AD88" s="33">
        <f>IF(AQ88="7",BH88,0)</f>
        <v>0</v>
      </c>
      <c r="AE88" s="33">
        <f>IF(AQ88="7",BI88,0)</f>
        <v>0</v>
      </c>
      <c r="AF88" s="33">
        <f>IF(AQ88="2",BH88,0)</f>
        <v>0</v>
      </c>
      <c r="AG88" s="33">
        <f>IF(AQ88="2",BI88,0)</f>
        <v>0</v>
      </c>
      <c r="AH88" s="33">
        <f>IF(AQ88="0",BJ88,0)</f>
        <v>0</v>
      </c>
      <c r="AI88" s="29"/>
      <c r="AJ88" s="18">
        <f>IF(AN88=0,K88,0)</f>
        <v>0</v>
      </c>
      <c r="AK88" s="18">
        <f>IF(AN88=15,K88,0)</f>
        <v>0</v>
      </c>
      <c r="AL88" s="18">
        <f>IF(AN88=21,K88,0)</f>
        <v>0</v>
      </c>
      <c r="AN88" s="33">
        <v>15</v>
      </c>
      <c r="AO88" s="33">
        <f>H88*1</f>
        <v>0</v>
      </c>
      <c r="AP88" s="33">
        <f>H88*(1-1)</f>
        <v>0</v>
      </c>
      <c r="AQ88" s="30" t="s">
        <v>13</v>
      </c>
      <c r="AV88" s="33">
        <f>AW88+AX88</f>
        <v>0</v>
      </c>
      <c r="AW88" s="33">
        <f>G88*AO88</f>
        <v>0</v>
      </c>
      <c r="AX88" s="33">
        <f>G88*AP88</f>
        <v>0</v>
      </c>
      <c r="AY88" s="34" t="s">
        <v>794</v>
      </c>
      <c r="AZ88" s="34" t="s">
        <v>814</v>
      </c>
      <c r="BA88" s="29" t="s">
        <v>820</v>
      </c>
      <c r="BC88" s="33">
        <f>AW88+AX88</f>
        <v>0</v>
      </c>
      <c r="BD88" s="33">
        <f>H88/(100-BE88)*100</f>
        <v>0</v>
      </c>
      <c r="BE88" s="33">
        <v>0</v>
      </c>
      <c r="BF88" s="33">
        <f>88</f>
        <v>88</v>
      </c>
      <c r="BH88" s="18">
        <f>G88*AO88</f>
        <v>0</v>
      </c>
      <c r="BI88" s="18">
        <f>G88*AP88</f>
        <v>0</v>
      </c>
      <c r="BJ88" s="18">
        <f>G88*H88</f>
        <v>0</v>
      </c>
    </row>
    <row r="89" spans="3:7" ht="10.5" customHeight="1">
      <c r="C89" s="153" t="s">
        <v>429</v>
      </c>
      <c r="D89" s="154"/>
      <c r="E89" s="154"/>
      <c r="G89" s="17">
        <v>1</v>
      </c>
    </row>
    <row r="90" spans="1:62" ht="12.75">
      <c r="A90" s="4" t="s">
        <v>34</v>
      </c>
      <c r="B90" s="4" t="s">
        <v>229</v>
      </c>
      <c r="C90" s="151" t="s">
        <v>442</v>
      </c>
      <c r="D90" s="152"/>
      <c r="E90" s="152"/>
      <c r="F90" s="4" t="s">
        <v>753</v>
      </c>
      <c r="G90" s="16">
        <v>1</v>
      </c>
      <c r="H90" s="16">
        <v>0</v>
      </c>
      <c r="I90" s="16">
        <f>G90*AO90</f>
        <v>0</v>
      </c>
      <c r="J90" s="16">
        <f>G90*AP90</f>
        <v>0</v>
      </c>
      <c r="K90" s="16">
        <f>G90*H90</f>
        <v>0</v>
      </c>
      <c r="L90" s="28" t="s">
        <v>775</v>
      </c>
      <c r="Z90" s="33">
        <f>IF(AQ90="5",BJ90,0)</f>
        <v>0</v>
      </c>
      <c r="AB90" s="33">
        <f>IF(AQ90="1",BH90,0)</f>
        <v>0</v>
      </c>
      <c r="AC90" s="33">
        <f>IF(AQ90="1",BI90,0)</f>
        <v>0</v>
      </c>
      <c r="AD90" s="33">
        <f>IF(AQ90="7",BH90,0)</f>
        <v>0</v>
      </c>
      <c r="AE90" s="33">
        <f>IF(AQ90="7",BI90,0)</f>
        <v>0</v>
      </c>
      <c r="AF90" s="33">
        <f>IF(AQ90="2",BH90,0)</f>
        <v>0</v>
      </c>
      <c r="AG90" s="33">
        <f>IF(AQ90="2",BI90,0)</f>
        <v>0</v>
      </c>
      <c r="AH90" s="33">
        <f>IF(AQ90="0",BJ90,0)</f>
        <v>0</v>
      </c>
      <c r="AI90" s="29"/>
      <c r="AJ90" s="16">
        <f>IF(AN90=0,K90,0)</f>
        <v>0</v>
      </c>
      <c r="AK90" s="16">
        <f>IF(AN90=15,K90,0)</f>
        <v>0</v>
      </c>
      <c r="AL90" s="16">
        <f>IF(AN90=21,K90,0)</f>
        <v>0</v>
      </c>
      <c r="AN90" s="33">
        <v>15</v>
      </c>
      <c r="AO90" s="33">
        <f>H90*0.042111801242236</f>
        <v>0</v>
      </c>
      <c r="AP90" s="33">
        <f>H90*(1-0.042111801242236)</f>
        <v>0</v>
      </c>
      <c r="AQ90" s="28" t="s">
        <v>13</v>
      </c>
      <c r="AV90" s="33">
        <f>AW90+AX90</f>
        <v>0</v>
      </c>
      <c r="AW90" s="33">
        <f>G90*AO90</f>
        <v>0</v>
      </c>
      <c r="AX90" s="33">
        <f>G90*AP90</f>
        <v>0</v>
      </c>
      <c r="AY90" s="34" t="s">
        <v>794</v>
      </c>
      <c r="AZ90" s="34" t="s">
        <v>814</v>
      </c>
      <c r="BA90" s="29" t="s">
        <v>820</v>
      </c>
      <c r="BC90" s="33">
        <f>AW90+AX90</f>
        <v>0</v>
      </c>
      <c r="BD90" s="33">
        <f>H90/(100-BE90)*100</f>
        <v>0</v>
      </c>
      <c r="BE90" s="33">
        <v>0</v>
      </c>
      <c r="BF90" s="33">
        <f>90</f>
        <v>90</v>
      </c>
      <c r="BH90" s="16">
        <f>G90*AO90</f>
        <v>0</v>
      </c>
      <c r="BI90" s="16">
        <f>G90*AP90</f>
        <v>0</v>
      </c>
      <c r="BJ90" s="16">
        <f>G90*H90</f>
        <v>0</v>
      </c>
    </row>
    <row r="91" spans="3:5" ht="12.75">
      <c r="C91" s="155" t="s">
        <v>443</v>
      </c>
      <c r="D91" s="156"/>
      <c r="E91" s="156"/>
    </row>
    <row r="92" spans="1:62" ht="12.75">
      <c r="A92" s="6" t="s">
        <v>35</v>
      </c>
      <c r="B92" s="6" t="s">
        <v>230</v>
      </c>
      <c r="C92" s="165" t="s">
        <v>444</v>
      </c>
      <c r="D92" s="166"/>
      <c r="E92" s="166"/>
      <c r="F92" s="6" t="s">
        <v>748</v>
      </c>
      <c r="G92" s="18">
        <v>1</v>
      </c>
      <c r="H92" s="18">
        <v>0</v>
      </c>
      <c r="I92" s="18">
        <f>G92*AO92</f>
        <v>0</v>
      </c>
      <c r="J92" s="18">
        <f>G92*AP92</f>
        <v>0</v>
      </c>
      <c r="K92" s="18">
        <f>G92*H92</f>
        <v>0</v>
      </c>
      <c r="L92" s="30" t="s">
        <v>775</v>
      </c>
      <c r="Z92" s="33">
        <f>IF(AQ92="5",BJ92,0)</f>
        <v>0</v>
      </c>
      <c r="AB92" s="33">
        <f>IF(AQ92="1",BH92,0)</f>
        <v>0</v>
      </c>
      <c r="AC92" s="33">
        <f>IF(AQ92="1",BI92,0)</f>
        <v>0</v>
      </c>
      <c r="AD92" s="33">
        <f>IF(AQ92="7",BH92,0)</f>
        <v>0</v>
      </c>
      <c r="AE92" s="33">
        <f>IF(AQ92="7",BI92,0)</f>
        <v>0</v>
      </c>
      <c r="AF92" s="33">
        <f>IF(AQ92="2",BH92,0)</f>
        <v>0</v>
      </c>
      <c r="AG92" s="33">
        <f>IF(AQ92="2",BI92,0)</f>
        <v>0</v>
      </c>
      <c r="AH92" s="33">
        <f>IF(AQ92="0",BJ92,0)</f>
        <v>0</v>
      </c>
      <c r="AI92" s="29"/>
      <c r="AJ92" s="18">
        <f>IF(AN92=0,K92,0)</f>
        <v>0</v>
      </c>
      <c r="AK92" s="18">
        <f>IF(AN92=15,K92,0)</f>
        <v>0</v>
      </c>
      <c r="AL92" s="18">
        <f>IF(AN92=21,K92,0)</f>
        <v>0</v>
      </c>
      <c r="AN92" s="33">
        <v>15</v>
      </c>
      <c r="AO92" s="33">
        <f>H92*1</f>
        <v>0</v>
      </c>
      <c r="AP92" s="33">
        <f>H92*(1-1)</f>
        <v>0</v>
      </c>
      <c r="AQ92" s="30" t="s">
        <v>13</v>
      </c>
      <c r="AV92" s="33">
        <f>AW92+AX92</f>
        <v>0</v>
      </c>
      <c r="AW92" s="33">
        <f>G92*AO92</f>
        <v>0</v>
      </c>
      <c r="AX92" s="33">
        <f>G92*AP92</f>
        <v>0</v>
      </c>
      <c r="AY92" s="34" t="s">
        <v>794</v>
      </c>
      <c r="AZ92" s="34" t="s">
        <v>814</v>
      </c>
      <c r="BA92" s="29" t="s">
        <v>820</v>
      </c>
      <c r="BC92" s="33">
        <f>AW92+AX92</f>
        <v>0</v>
      </c>
      <c r="BD92" s="33">
        <f>H92/(100-BE92)*100</f>
        <v>0</v>
      </c>
      <c r="BE92" s="33">
        <v>0</v>
      </c>
      <c r="BF92" s="33">
        <f>92</f>
        <v>92</v>
      </c>
      <c r="BH92" s="18">
        <f>G92*AO92</f>
        <v>0</v>
      </c>
      <c r="BI92" s="18">
        <f>G92*AP92</f>
        <v>0</v>
      </c>
      <c r="BJ92" s="18">
        <f>G92*H92</f>
        <v>0</v>
      </c>
    </row>
    <row r="93" spans="3:7" ht="10.5" customHeight="1">
      <c r="C93" s="153" t="s">
        <v>429</v>
      </c>
      <c r="D93" s="154"/>
      <c r="E93" s="154"/>
      <c r="G93" s="17">
        <v>1</v>
      </c>
    </row>
    <row r="94" spans="1:62" ht="12.75">
      <c r="A94" s="4" t="s">
        <v>36</v>
      </c>
      <c r="B94" s="4" t="s">
        <v>231</v>
      </c>
      <c r="C94" s="151" t="s">
        <v>445</v>
      </c>
      <c r="D94" s="152"/>
      <c r="E94" s="152"/>
      <c r="F94" s="4" t="s">
        <v>748</v>
      </c>
      <c r="G94" s="16">
        <v>1</v>
      </c>
      <c r="H94" s="16">
        <v>0</v>
      </c>
      <c r="I94" s="16">
        <f>G94*AO94</f>
        <v>0</v>
      </c>
      <c r="J94" s="16">
        <f>G94*AP94</f>
        <v>0</v>
      </c>
      <c r="K94" s="16">
        <f>G94*H94</f>
        <v>0</v>
      </c>
      <c r="L94" s="28" t="s">
        <v>775</v>
      </c>
      <c r="Z94" s="33">
        <f>IF(AQ94="5",BJ94,0)</f>
        <v>0</v>
      </c>
      <c r="AB94" s="33">
        <f>IF(AQ94="1",BH94,0)</f>
        <v>0</v>
      </c>
      <c r="AC94" s="33">
        <f>IF(AQ94="1",BI94,0)</f>
        <v>0</v>
      </c>
      <c r="AD94" s="33">
        <f>IF(AQ94="7",BH94,0)</f>
        <v>0</v>
      </c>
      <c r="AE94" s="33">
        <f>IF(AQ94="7",BI94,0)</f>
        <v>0</v>
      </c>
      <c r="AF94" s="33">
        <f>IF(AQ94="2",BH94,0)</f>
        <v>0</v>
      </c>
      <c r="AG94" s="33">
        <f>IF(AQ94="2",BI94,0)</f>
        <v>0</v>
      </c>
      <c r="AH94" s="33">
        <f>IF(AQ94="0",BJ94,0)</f>
        <v>0</v>
      </c>
      <c r="AI94" s="29"/>
      <c r="AJ94" s="16">
        <f>IF(AN94=0,K94,0)</f>
        <v>0</v>
      </c>
      <c r="AK94" s="16">
        <f>IF(AN94=15,K94,0)</f>
        <v>0</v>
      </c>
      <c r="AL94" s="16">
        <f>IF(AN94=21,K94,0)</f>
        <v>0</v>
      </c>
      <c r="AN94" s="33">
        <v>15</v>
      </c>
      <c r="AO94" s="33">
        <f>H94*0.815164835164835</f>
        <v>0</v>
      </c>
      <c r="AP94" s="33">
        <f>H94*(1-0.815164835164835)</f>
        <v>0</v>
      </c>
      <c r="AQ94" s="28" t="s">
        <v>13</v>
      </c>
      <c r="AV94" s="33">
        <f>AW94+AX94</f>
        <v>0</v>
      </c>
      <c r="AW94" s="33">
        <f>G94*AO94</f>
        <v>0</v>
      </c>
      <c r="AX94" s="33">
        <f>G94*AP94</f>
        <v>0</v>
      </c>
      <c r="AY94" s="34" t="s">
        <v>794</v>
      </c>
      <c r="AZ94" s="34" t="s">
        <v>814</v>
      </c>
      <c r="BA94" s="29" t="s">
        <v>820</v>
      </c>
      <c r="BC94" s="33">
        <f>AW94+AX94</f>
        <v>0</v>
      </c>
      <c r="BD94" s="33">
        <f>H94/(100-BE94)*100</f>
        <v>0</v>
      </c>
      <c r="BE94" s="33">
        <v>0</v>
      </c>
      <c r="BF94" s="33">
        <f>94</f>
        <v>94</v>
      </c>
      <c r="BH94" s="16">
        <f>G94*AO94</f>
        <v>0</v>
      </c>
      <c r="BI94" s="16">
        <f>G94*AP94</f>
        <v>0</v>
      </c>
      <c r="BJ94" s="16">
        <f>G94*H94</f>
        <v>0</v>
      </c>
    </row>
    <row r="95" spans="3:5" ht="12.75">
      <c r="C95" s="155" t="s">
        <v>446</v>
      </c>
      <c r="D95" s="156"/>
      <c r="E95" s="156"/>
    </row>
    <row r="96" spans="3:7" ht="10.5" customHeight="1">
      <c r="C96" s="153" t="s">
        <v>429</v>
      </c>
      <c r="D96" s="154"/>
      <c r="E96" s="154"/>
      <c r="G96" s="17">
        <v>1</v>
      </c>
    </row>
    <row r="97" spans="1:62" ht="12.75">
      <c r="A97" s="4" t="s">
        <v>37</v>
      </c>
      <c r="B97" s="4" t="s">
        <v>232</v>
      </c>
      <c r="C97" s="151" t="s">
        <v>447</v>
      </c>
      <c r="D97" s="152"/>
      <c r="E97" s="152"/>
      <c r="F97" s="4" t="s">
        <v>748</v>
      </c>
      <c r="G97" s="16">
        <v>1</v>
      </c>
      <c r="H97" s="16">
        <v>0</v>
      </c>
      <c r="I97" s="16">
        <f>G97*AO97</f>
        <v>0</v>
      </c>
      <c r="J97" s="16">
        <f>G97*AP97</f>
        <v>0</v>
      </c>
      <c r="K97" s="16">
        <f>G97*H97</f>
        <v>0</v>
      </c>
      <c r="L97" s="28" t="s">
        <v>775</v>
      </c>
      <c r="Z97" s="33">
        <f>IF(AQ97="5",BJ97,0)</f>
        <v>0</v>
      </c>
      <c r="AB97" s="33">
        <f>IF(AQ97="1",BH97,0)</f>
        <v>0</v>
      </c>
      <c r="AC97" s="33">
        <f>IF(AQ97="1",BI97,0)</f>
        <v>0</v>
      </c>
      <c r="AD97" s="33">
        <f>IF(AQ97="7",BH97,0)</f>
        <v>0</v>
      </c>
      <c r="AE97" s="33">
        <f>IF(AQ97="7",BI97,0)</f>
        <v>0</v>
      </c>
      <c r="AF97" s="33">
        <f>IF(AQ97="2",BH97,0)</f>
        <v>0</v>
      </c>
      <c r="AG97" s="33">
        <f>IF(AQ97="2",BI97,0)</f>
        <v>0</v>
      </c>
      <c r="AH97" s="33">
        <f>IF(AQ97="0",BJ97,0)</f>
        <v>0</v>
      </c>
      <c r="AI97" s="29"/>
      <c r="AJ97" s="16">
        <f>IF(AN97=0,K97,0)</f>
        <v>0</v>
      </c>
      <c r="AK97" s="16">
        <f>IF(AN97=15,K97,0)</f>
        <v>0</v>
      </c>
      <c r="AL97" s="16">
        <f>IF(AN97=21,K97,0)</f>
        <v>0</v>
      </c>
      <c r="AN97" s="33">
        <v>15</v>
      </c>
      <c r="AO97" s="33">
        <f>H97*0.892608823317581</f>
        <v>0</v>
      </c>
      <c r="AP97" s="33">
        <f>H97*(1-0.892608823317581)</f>
        <v>0</v>
      </c>
      <c r="AQ97" s="28" t="s">
        <v>13</v>
      </c>
      <c r="AV97" s="33">
        <f>AW97+AX97</f>
        <v>0</v>
      </c>
      <c r="AW97" s="33">
        <f>G97*AO97</f>
        <v>0</v>
      </c>
      <c r="AX97" s="33">
        <f>G97*AP97</f>
        <v>0</v>
      </c>
      <c r="AY97" s="34" t="s">
        <v>794</v>
      </c>
      <c r="AZ97" s="34" t="s">
        <v>814</v>
      </c>
      <c r="BA97" s="29" t="s">
        <v>820</v>
      </c>
      <c r="BC97" s="33">
        <f>AW97+AX97</f>
        <v>0</v>
      </c>
      <c r="BD97" s="33">
        <f>H97/(100-BE97)*100</f>
        <v>0</v>
      </c>
      <c r="BE97" s="33">
        <v>0</v>
      </c>
      <c r="BF97" s="33">
        <f>97</f>
        <v>97</v>
      </c>
      <c r="BH97" s="16">
        <f>G97*AO97</f>
        <v>0</v>
      </c>
      <c r="BI97" s="16">
        <f>G97*AP97</f>
        <v>0</v>
      </c>
      <c r="BJ97" s="16">
        <f>G97*H97</f>
        <v>0</v>
      </c>
    </row>
    <row r="98" spans="3:7" ht="10.5" customHeight="1">
      <c r="C98" s="153" t="s">
        <v>429</v>
      </c>
      <c r="D98" s="154"/>
      <c r="E98" s="154"/>
      <c r="G98" s="17">
        <v>1</v>
      </c>
    </row>
    <row r="99" spans="1:62" ht="12.75">
      <c r="A99" s="4" t="s">
        <v>38</v>
      </c>
      <c r="B99" s="4" t="s">
        <v>233</v>
      </c>
      <c r="C99" s="151" t="s">
        <v>448</v>
      </c>
      <c r="D99" s="152"/>
      <c r="E99" s="152"/>
      <c r="F99" s="4" t="s">
        <v>753</v>
      </c>
      <c r="G99" s="16">
        <v>1</v>
      </c>
      <c r="H99" s="16">
        <v>0</v>
      </c>
      <c r="I99" s="16">
        <f>G99*AO99</f>
        <v>0</v>
      </c>
      <c r="J99" s="16">
        <f>G99*AP99</f>
        <v>0</v>
      </c>
      <c r="K99" s="16">
        <f>G99*H99</f>
        <v>0</v>
      </c>
      <c r="L99" s="28" t="s">
        <v>775</v>
      </c>
      <c r="Z99" s="33">
        <f>IF(AQ99="5",BJ99,0)</f>
        <v>0</v>
      </c>
      <c r="AB99" s="33">
        <f>IF(AQ99="1",BH99,0)</f>
        <v>0</v>
      </c>
      <c r="AC99" s="33">
        <f>IF(AQ99="1",BI99,0)</f>
        <v>0</v>
      </c>
      <c r="AD99" s="33">
        <f>IF(AQ99="7",BH99,0)</f>
        <v>0</v>
      </c>
      <c r="AE99" s="33">
        <f>IF(AQ99="7",BI99,0)</f>
        <v>0</v>
      </c>
      <c r="AF99" s="33">
        <f>IF(AQ99="2",BH99,0)</f>
        <v>0</v>
      </c>
      <c r="AG99" s="33">
        <f>IF(AQ99="2",BI99,0)</f>
        <v>0</v>
      </c>
      <c r="AH99" s="33">
        <f>IF(AQ99="0",BJ99,0)</f>
        <v>0</v>
      </c>
      <c r="AI99" s="29"/>
      <c r="AJ99" s="16">
        <f>IF(AN99=0,K99,0)</f>
        <v>0</v>
      </c>
      <c r="AK99" s="16">
        <f>IF(AN99=15,K99,0)</f>
        <v>0</v>
      </c>
      <c r="AL99" s="16">
        <f>IF(AN99=21,K99,0)</f>
        <v>0</v>
      </c>
      <c r="AN99" s="33">
        <v>15</v>
      </c>
      <c r="AO99" s="33">
        <f>H99*0.939083865398175</f>
        <v>0</v>
      </c>
      <c r="AP99" s="33">
        <f>H99*(1-0.939083865398175)</f>
        <v>0</v>
      </c>
      <c r="AQ99" s="28" t="s">
        <v>13</v>
      </c>
      <c r="AV99" s="33">
        <f>AW99+AX99</f>
        <v>0</v>
      </c>
      <c r="AW99" s="33">
        <f>G99*AO99</f>
        <v>0</v>
      </c>
      <c r="AX99" s="33">
        <f>G99*AP99</f>
        <v>0</v>
      </c>
      <c r="AY99" s="34" t="s">
        <v>794</v>
      </c>
      <c r="AZ99" s="34" t="s">
        <v>814</v>
      </c>
      <c r="BA99" s="29" t="s">
        <v>820</v>
      </c>
      <c r="BC99" s="33">
        <f>AW99+AX99</f>
        <v>0</v>
      </c>
      <c r="BD99" s="33">
        <f>H99/(100-BE99)*100</f>
        <v>0</v>
      </c>
      <c r="BE99" s="33">
        <v>0</v>
      </c>
      <c r="BF99" s="33">
        <f>99</f>
        <v>99</v>
      </c>
      <c r="BH99" s="16">
        <f>G99*AO99</f>
        <v>0</v>
      </c>
      <c r="BI99" s="16">
        <f>G99*AP99</f>
        <v>0</v>
      </c>
      <c r="BJ99" s="16">
        <f>G99*H99</f>
        <v>0</v>
      </c>
    </row>
    <row r="100" spans="3:5" ht="12.75">
      <c r="C100" s="155" t="s">
        <v>449</v>
      </c>
      <c r="D100" s="156"/>
      <c r="E100" s="156"/>
    </row>
    <row r="101" spans="1:62" ht="12.75">
      <c r="A101" s="4" t="s">
        <v>39</v>
      </c>
      <c r="B101" s="4" t="s">
        <v>234</v>
      </c>
      <c r="C101" s="151" t="s">
        <v>450</v>
      </c>
      <c r="D101" s="152"/>
      <c r="E101" s="152"/>
      <c r="F101" s="4" t="s">
        <v>748</v>
      </c>
      <c r="G101" s="16">
        <v>2</v>
      </c>
      <c r="H101" s="16">
        <v>0</v>
      </c>
      <c r="I101" s="16">
        <f>G101*AO101</f>
        <v>0</v>
      </c>
      <c r="J101" s="16">
        <f>G101*AP101</f>
        <v>0</v>
      </c>
      <c r="K101" s="16">
        <f>G101*H101</f>
        <v>0</v>
      </c>
      <c r="L101" s="28" t="s">
        <v>775</v>
      </c>
      <c r="Z101" s="33">
        <f>IF(AQ101="5",BJ101,0)</f>
        <v>0</v>
      </c>
      <c r="AB101" s="33">
        <f>IF(AQ101="1",BH101,0)</f>
        <v>0</v>
      </c>
      <c r="AC101" s="33">
        <f>IF(AQ101="1",BI101,0)</f>
        <v>0</v>
      </c>
      <c r="AD101" s="33">
        <f>IF(AQ101="7",BH101,0)</f>
        <v>0</v>
      </c>
      <c r="AE101" s="33">
        <f>IF(AQ101="7",BI101,0)</f>
        <v>0</v>
      </c>
      <c r="AF101" s="33">
        <f>IF(AQ101="2",BH101,0)</f>
        <v>0</v>
      </c>
      <c r="AG101" s="33">
        <f>IF(AQ101="2",BI101,0)</f>
        <v>0</v>
      </c>
      <c r="AH101" s="33">
        <f>IF(AQ101="0",BJ101,0)</f>
        <v>0</v>
      </c>
      <c r="AI101" s="29"/>
      <c r="AJ101" s="16">
        <f>IF(AN101=0,K101,0)</f>
        <v>0</v>
      </c>
      <c r="AK101" s="16">
        <f>IF(AN101=15,K101,0)</f>
        <v>0</v>
      </c>
      <c r="AL101" s="16">
        <f>IF(AN101=21,K101,0)</f>
        <v>0</v>
      </c>
      <c r="AN101" s="33">
        <v>15</v>
      </c>
      <c r="AO101" s="33">
        <f>H101*0.954770642201835</f>
        <v>0</v>
      </c>
      <c r="AP101" s="33">
        <f>H101*(1-0.954770642201835)</f>
        <v>0</v>
      </c>
      <c r="AQ101" s="28" t="s">
        <v>13</v>
      </c>
      <c r="AV101" s="33">
        <f>AW101+AX101</f>
        <v>0</v>
      </c>
      <c r="AW101" s="33">
        <f>G101*AO101</f>
        <v>0</v>
      </c>
      <c r="AX101" s="33">
        <f>G101*AP101</f>
        <v>0</v>
      </c>
      <c r="AY101" s="34" t="s">
        <v>794</v>
      </c>
      <c r="AZ101" s="34" t="s">
        <v>814</v>
      </c>
      <c r="BA101" s="29" t="s">
        <v>820</v>
      </c>
      <c r="BC101" s="33">
        <f>AW101+AX101</f>
        <v>0</v>
      </c>
      <c r="BD101" s="33">
        <f>H101/(100-BE101)*100</f>
        <v>0</v>
      </c>
      <c r="BE101" s="33">
        <v>0</v>
      </c>
      <c r="BF101" s="33">
        <f>101</f>
        <v>101</v>
      </c>
      <c r="BH101" s="16">
        <f>G101*AO101</f>
        <v>0</v>
      </c>
      <c r="BI101" s="16">
        <f>G101*AP101</f>
        <v>0</v>
      </c>
      <c r="BJ101" s="16">
        <f>G101*H101</f>
        <v>0</v>
      </c>
    </row>
    <row r="102" spans="3:5" ht="12.75">
      <c r="C102" s="155" t="s">
        <v>451</v>
      </c>
      <c r="D102" s="156"/>
      <c r="E102" s="156"/>
    </row>
    <row r="103" spans="1:62" ht="12.75">
      <c r="A103" s="4" t="s">
        <v>40</v>
      </c>
      <c r="B103" s="4" t="s">
        <v>235</v>
      </c>
      <c r="C103" s="151" t="s">
        <v>452</v>
      </c>
      <c r="D103" s="152"/>
      <c r="E103" s="152"/>
      <c r="F103" s="4" t="s">
        <v>753</v>
      </c>
      <c r="G103" s="16">
        <v>1</v>
      </c>
      <c r="H103" s="16">
        <v>0</v>
      </c>
      <c r="I103" s="16">
        <f>G103*AO103</f>
        <v>0</v>
      </c>
      <c r="J103" s="16">
        <f>G103*AP103</f>
        <v>0</v>
      </c>
      <c r="K103" s="16">
        <f>G103*H103</f>
        <v>0</v>
      </c>
      <c r="L103" s="28" t="s">
        <v>775</v>
      </c>
      <c r="Z103" s="33">
        <f>IF(AQ103="5",BJ103,0)</f>
        <v>0</v>
      </c>
      <c r="AB103" s="33">
        <f>IF(AQ103="1",BH103,0)</f>
        <v>0</v>
      </c>
      <c r="AC103" s="33">
        <f>IF(AQ103="1",BI103,0)</f>
        <v>0</v>
      </c>
      <c r="AD103" s="33">
        <f>IF(AQ103="7",BH103,0)</f>
        <v>0</v>
      </c>
      <c r="AE103" s="33">
        <f>IF(AQ103="7",BI103,0)</f>
        <v>0</v>
      </c>
      <c r="AF103" s="33">
        <f>IF(AQ103="2",BH103,0)</f>
        <v>0</v>
      </c>
      <c r="AG103" s="33">
        <f>IF(AQ103="2",BI103,0)</f>
        <v>0</v>
      </c>
      <c r="AH103" s="33">
        <f>IF(AQ103="0",BJ103,0)</f>
        <v>0</v>
      </c>
      <c r="AI103" s="29"/>
      <c r="AJ103" s="16">
        <f>IF(AN103=0,K103,0)</f>
        <v>0</v>
      </c>
      <c r="AK103" s="16">
        <f>IF(AN103=15,K103,0)</f>
        <v>0</v>
      </c>
      <c r="AL103" s="16">
        <f>IF(AN103=21,K103,0)</f>
        <v>0</v>
      </c>
      <c r="AN103" s="33">
        <v>15</v>
      </c>
      <c r="AO103" s="33">
        <f>H103*0.963840411840412</f>
        <v>0</v>
      </c>
      <c r="AP103" s="33">
        <f>H103*(1-0.963840411840412)</f>
        <v>0</v>
      </c>
      <c r="AQ103" s="28" t="s">
        <v>13</v>
      </c>
      <c r="AV103" s="33">
        <f>AW103+AX103</f>
        <v>0</v>
      </c>
      <c r="AW103" s="33">
        <f>G103*AO103</f>
        <v>0</v>
      </c>
      <c r="AX103" s="33">
        <f>G103*AP103</f>
        <v>0</v>
      </c>
      <c r="AY103" s="34" t="s">
        <v>794</v>
      </c>
      <c r="AZ103" s="34" t="s">
        <v>814</v>
      </c>
      <c r="BA103" s="29" t="s">
        <v>820</v>
      </c>
      <c r="BC103" s="33">
        <f>AW103+AX103</f>
        <v>0</v>
      </c>
      <c r="BD103" s="33">
        <f>H103/(100-BE103)*100</f>
        <v>0</v>
      </c>
      <c r="BE103" s="33">
        <v>0</v>
      </c>
      <c r="BF103" s="33">
        <f>103</f>
        <v>103</v>
      </c>
      <c r="BH103" s="16">
        <f>G103*AO103</f>
        <v>0</v>
      </c>
      <c r="BI103" s="16">
        <f>G103*AP103</f>
        <v>0</v>
      </c>
      <c r="BJ103" s="16">
        <f>G103*H103</f>
        <v>0</v>
      </c>
    </row>
    <row r="104" spans="3:5" ht="12.75">
      <c r="C104" s="155" t="s">
        <v>451</v>
      </c>
      <c r="D104" s="156"/>
      <c r="E104" s="156"/>
    </row>
    <row r="105" spans="1:47" ht="12.75">
      <c r="A105" s="5"/>
      <c r="B105" s="13" t="s">
        <v>236</v>
      </c>
      <c r="C105" s="157" t="s">
        <v>453</v>
      </c>
      <c r="D105" s="158"/>
      <c r="E105" s="158"/>
      <c r="F105" s="5" t="s">
        <v>6</v>
      </c>
      <c r="G105" s="5" t="s">
        <v>6</v>
      </c>
      <c r="H105" s="5" t="s">
        <v>6</v>
      </c>
      <c r="I105" s="36">
        <f>SUM(I106:I106)</f>
        <v>0</v>
      </c>
      <c r="J105" s="36">
        <f>SUM(J106:J106)</f>
        <v>0</v>
      </c>
      <c r="K105" s="36">
        <f>SUM(K106:K106)</f>
        <v>0</v>
      </c>
      <c r="L105" s="29"/>
      <c r="AI105" s="29"/>
      <c r="AS105" s="36">
        <f>SUM(AJ106:AJ106)</f>
        <v>0</v>
      </c>
      <c r="AT105" s="36">
        <f>SUM(AK106:AK106)</f>
        <v>0</v>
      </c>
      <c r="AU105" s="36">
        <f>SUM(AL106:AL106)</f>
        <v>0</v>
      </c>
    </row>
    <row r="106" spans="1:62" ht="12.75">
      <c r="A106" s="4" t="s">
        <v>41</v>
      </c>
      <c r="B106" s="4" t="s">
        <v>237</v>
      </c>
      <c r="C106" s="151" t="s">
        <v>959</v>
      </c>
      <c r="D106" s="152"/>
      <c r="E106" s="152"/>
      <c r="F106" s="4" t="s">
        <v>747</v>
      </c>
      <c r="G106" s="16">
        <v>18.05</v>
      </c>
      <c r="H106" s="16">
        <v>0</v>
      </c>
      <c r="I106" s="16">
        <f>G106*AO106</f>
        <v>0</v>
      </c>
      <c r="J106" s="16">
        <f>G106*AP106</f>
        <v>0</v>
      </c>
      <c r="K106" s="16">
        <f>G106*H106</f>
        <v>0</v>
      </c>
      <c r="L106" s="28" t="s">
        <v>775</v>
      </c>
      <c r="Z106" s="33">
        <f>IF(AQ106="5",BJ106,0)</f>
        <v>0</v>
      </c>
      <c r="AB106" s="33">
        <f>IF(AQ106="1",BH106,0)</f>
        <v>0</v>
      </c>
      <c r="AC106" s="33">
        <f>IF(AQ106="1",BI106,0)</f>
        <v>0</v>
      </c>
      <c r="AD106" s="33">
        <f>IF(AQ106="7",BH106,0)</f>
        <v>0</v>
      </c>
      <c r="AE106" s="33">
        <f>IF(AQ106="7",BI106,0)</f>
        <v>0</v>
      </c>
      <c r="AF106" s="33">
        <f>IF(AQ106="2",BH106,0)</f>
        <v>0</v>
      </c>
      <c r="AG106" s="33">
        <f>IF(AQ106="2",BI106,0)</f>
        <v>0</v>
      </c>
      <c r="AH106" s="33">
        <f>IF(AQ106="0",BJ106,0)</f>
        <v>0</v>
      </c>
      <c r="AI106" s="29"/>
      <c r="AJ106" s="16">
        <f>IF(AN106=0,K106,0)</f>
        <v>0</v>
      </c>
      <c r="AK106" s="16">
        <f>IF(AN106=15,K106,0)</f>
        <v>0</v>
      </c>
      <c r="AL106" s="16">
        <f>IF(AN106=21,K106,0)</f>
        <v>0</v>
      </c>
      <c r="AN106" s="33">
        <v>15</v>
      </c>
      <c r="AO106" s="33">
        <f>H106*0.762514511493949</f>
        <v>0</v>
      </c>
      <c r="AP106" s="33">
        <f>H106*(1-0.762514511493949)</f>
        <v>0</v>
      </c>
      <c r="AQ106" s="28" t="s">
        <v>13</v>
      </c>
      <c r="AV106" s="33">
        <f>AW106+AX106</f>
        <v>0</v>
      </c>
      <c r="AW106" s="33">
        <f>G106*AO106</f>
        <v>0</v>
      </c>
      <c r="AX106" s="33">
        <f>G106*AP106</f>
        <v>0</v>
      </c>
      <c r="AY106" s="34" t="s">
        <v>795</v>
      </c>
      <c r="AZ106" s="34" t="s">
        <v>815</v>
      </c>
      <c r="BA106" s="29" t="s">
        <v>820</v>
      </c>
      <c r="BC106" s="33">
        <f>AW106+AX106</f>
        <v>0</v>
      </c>
      <c r="BD106" s="33">
        <f>H106/(100-BE106)*100</f>
        <v>0</v>
      </c>
      <c r="BE106" s="33">
        <v>0</v>
      </c>
      <c r="BF106" s="33">
        <f>106</f>
        <v>106</v>
      </c>
      <c r="BH106" s="16">
        <f>G106*AO106</f>
        <v>0</v>
      </c>
      <c r="BI106" s="16">
        <f>G106*AP106</f>
        <v>0</v>
      </c>
      <c r="BJ106" s="16">
        <f>G106*H106</f>
        <v>0</v>
      </c>
    </row>
    <row r="107" spans="3:5" ht="12.75">
      <c r="C107" s="155" t="s">
        <v>960</v>
      </c>
      <c r="D107" s="156"/>
      <c r="E107" s="156"/>
    </row>
    <row r="108" spans="3:7" ht="10.5" customHeight="1">
      <c r="C108" s="153" t="s">
        <v>454</v>
      </c>
      <c r="D108" s="154"/>
      <c r="E108" s="154"/>
      <c r="G108" s="17">
        <v>18.05</v>
      </c>
    </row>
    <row r="109" spans="1:47" ht="12.75">
      <c r="A109" s="5"/>
      <c r="B109" s="13" t="s">
        <v>238</v>
      </c>
      <c r="C109" s="157" t="s">
        <v>455</v>
      </c>
      <c r="D109" s="158"/>
      <c r="E109" s="158"/>
      <c r="F109" s="5" t="s">
        <v>6</v>
      </c>
      <c r="G109" s="5" t="s">
        <v>6</v>
      </c>
      <c r="H109" s="5" t="s">
        <v>6</v>
      </c>
      <c r="I109" s="36">
        <f>SUM(I110:I179)</f>
        <v>0</v>
      </c>
      <c r="J109" s="36">
        <f>SUM(J110:J179)</f>
        <v>0</v>
      </c>
      <c r="K109" s="36">
        <f>SUM(K110:K179)</f>
        <v>0</v>
      </c>
      <c r="L109" s="29"/>
      <c r="AI109" s="29"/>
      <c r="AS109" s="36">
        <f>SUM(AJ110:AJ179)</f>
        <v>0</v>
      </c>
      <c r="AT109" s="36">
        <f>SUM(AK110:AK179)</f>
        <v>0</v>
      </c>
      <c r="AU109" s="36">
        <f>SUM(AL110:AL179)</f>
        <v>0</v>
      </c>
    </row>
    <row r="110" spans="1:62" ht="12.75">
      <c r="A110" s="4" t="s">
        <v>42</v>
      </c>
      <c r="B110" s="4" t="s">
        <v>239</v>
      </c>
      <c r="C110" s="151" t="s">
        <v>456</v>
      </c>
      <c r="D110" s="152"/>
      <c r="E110" s="152"/>
      <c r="F110" s="4" t="s">
        <v>748</v>
      </c>
      <c r="G110" s="16">
        <v>5</v>
      </c>
      <c r="H110" s="16">
        <v>0</v>
      </c>
      <c r="I110" s="16">
        <f>G110*AO110</f>
        <v>0</v>
      </c>
      <c r="J110" s="16">
        <f>G110*AP110</f>
        <v>0</v>
      </c>
      <c r="K110" s="16">
        <f>G110*H110</f>
        <v>0</v>
      </c>
      <c r="L110" s="28" t="s">
        <v>775</v>
      </c>
      <c r="Z110" s="33">
        <f>IF(AQ110="5",BJ110,0)</f>
        <v>0</v>
      </c>
      <c r="AB110" s="33">
        <f>IF(AQ110="1",BH110,0)</f>
        <v>0</v>
      </c>
      <c r="AC110" s="33">
        <f>IF(AQ110="1",BI110,0)</f>
        <v>0</v>
      </c>
      <c r="AD110" s="33">
        <f>IF(AQ110="7",BH110,0)</f>
        <v>0</v>
      </c>
      <c r="AE110" s="33">
        <f>IF(AQ110="7",BI110,0)</f>
        <v>0</v>
      </c>
      <c r="AF110" s="33">
        <f>IF(AQ110="2",BH110,0)</f>
        <v>0</v>
      </c>
      <c r="AG110" s="33">
        <f>IF(AQ110="2",BI110,0)</f>
        <v>0</v>
      </c>
      <c r="AH110" s="33">
        <f>IF(AQ110="0",BJ110,0)</f>
        <v>0</v>
      </c>
      <c r="AI110" s="29"/>
      <c r="AJ110" s="16">
        <f>IF(AN110=0,K110,0)</f>
        <v>0</v>
      </c>
      <c r="AK110" s="16">
        <f>IF(AN110=15,K110,0)</f>
        <v>0</v>
      </c>
      <c r="AL110" s="16">
        <f>IF(AN110=21,K110,0)</f>
        <v>0</v>
      </c>
      <c r="AN110" s="33">
        <v>15</v>
      </c>
      <c r="AO110" s="33">
        <f>H110*0</f>
        <v>0</v>
      </c>
      <c r="AP110" s="33">
        <f>H110*(1-0)</f>
        <v>0</v>
      </c>
      <c r="AQ110" s="28" t="s">
        <v>13</v>
      </c>
      <c r="AV110" s="33">
        <f>AW110+AX110</f>
        <v>0</v>
      </c>
      <c r="AW110" s="33">
        <f>G110*AO110</f>
        <v>0</v>
      </c>
      <c r="AX110" s="33">
        <f>G110*AP110</f>
        <v>0</v>
      </c>
      <c r="AY110" s="34" t="s">
        <v>796</v>
      </c>
      <c r="AZ110" s="34" t="s">
        <v>815</v>
      </c>
      <c r="BA110" s="29" t="s">
        <v>820</v>
      </c>
      <c r="BC110" s="33">
        <f>AW110+AX110</f>
        <v>0</v>
      </c>
      <c r="BD110" s="33">
        <f>H110/(100-BE110)*100</f>
        <v>0</v>
      </c>
      <c r="BE110" s="33">
        <v>0</v>
      </c>
      <c r="BF110" s="33">
        <f>110</f>
        <v>110</v>
      </c>
      <c r="BH110" s="16">
        <f>G110*AO110</f>
        <v>0</v>
      </c>
      <c r="BI110" s="16">
        <f>G110*AP110</f>
        <v>0</v>
      </c>
      <c r="BJ110" s="16">
        <f>G110*H110</f>
        <v>0</v>
      </c>
    </row>
    <row r="111" spans="3:5" ht="12.75">
      <c r="C111" s="155" t="s">
        <v>457</v>
      </c>
      <c r="D111" s="156"/>
      <c r="E111" s="156"/>
    </row>
    <row r="112" spans="3:7" ht="10.5" customHeight="1">
      <c r="C112" s="153" t="s">
        <v>458</v>
      </c>
      <c r="D112" s="154"/>
      <c r="E112" s="154"/>
      <c r="G112" s="17">
        <v>5</v>
      </c>
    </row>
    <row r="113" spans="1:62" ht="12.75">
      <c r="A113" s="4" t="s">
        <v>43</v>
      </c>
      <c r="B113" s="4" t="s">
        <v>239</v>
      </c>
      <c r="C113" s="151" t="s">
        <v>459</v>
      </c>
      <c r="D113" s="152"/>
      <c r="E113" s="152"/>
      <c r="F113" s="4" t="s">
        <v>748</v>
      </c>
      <c r="G113" s="16">
        <v>1</v>
      </c>
      <c r="H113" s="16">
        <v>0</v>
      </c>
      <c r="I113" s="16">
        <f>G113*AO113</f>
        <v>0</v>
      </c>
      <c r="J113" s="16">
        <f>G113*AP113</f>
        <v>0</v>
      </c>
      <c r="K113" s="16">
        <f>G113*H113</f>
        <v>0</v>
      </c>
      <c r="L113" s="28" t="s">
        <v>775</v>
      </c>
      <c r="Z113" s="33">
        <f>IF(AQ113="5",BJ113,0)</f>
        <v>0</v>
      </c>
      <c r="AB113" s="33">
        <f>IF(AQ113="1",BH113,0)</f>
        <v>0</v>
      </c>
      <c r="AC113" s="33">
        <f>IF(AQ113="1",BI113,0)</f>
        <v>0</v>
      </c>
      <c r="AD113" s="33">
        <f>IF(AQ113="7",BH113,0)</f>
        <v>0</v>
      </c>
      <c r="AE113" s="33">
        <f>IF(AQ113="7",BI113,0)</f>
        <v>0</v>
      </c>
      <c r="AF113" s="33">
        <f>IF(AQ113="2",BH113,0)</f>
        <v>0</v>
      </c>
      <c r="AG113" s="33">
        <f>IF(AQ113="2",BI113,0)</f>
        <v>0</v>
      </c>
      <c r="AH113" s="33">
        <f>IF(AQ113="0",BJ113,0)</f>
        <v>0</v>
      </c>
      <c r="AI113" s="29"/>
      <c r="AJ113" s="16">
        <f>IF(AN113=0,K113,0)</f>
        <v>0</v>
      </c>
      <c r="AK113" s="16">
        <f>IF(AN113=15,K113,0)</f>
        <v>0</v>
      </c>
      <c r="AL113" s="16">
        <f>IF(AN113=21,K113,0)</f>
        <v>0</v>
      </c>
      <c r="AN113" s="33">
        <v>15</v>
      </c>
      <c r="AO113" s="33">
        <f>H113*0</f>
        <v>0</v>
      </c>
      <c r="AP113" s="33">
        <f>H113*(1-0)</f>
        <v>0</v>
      </c>
      <c r="AQ113" s="28" t="s">
        <v>13</v>
      </c>
      <c r="AV113" s="33">
        <f>AW113+AX113</f>
        <v>0</v>
      </c>
      <c r="AW113" s="33">
        <f>G113*AO113</f>
        <v>0</v>
      </c>
      <c r="AX113" s="33">
        <f>G113*AP113</f>
        <v>0</v>
      </c>
      <c r="AY113" s="34" t="s">
        <v>796</v>
      </c>
      <c r="AZ113" s="34" t="s">
        <v>815</v>
      </c>
      <c r="BA113" s="29" t="s">
        <v>820</v>
      </c>
      <c r="BC113" s="33">
        <f>AW113+AX113</f>
        <v>0</v>
      </c>
      <c r="BD113" s="33">
        <f>H113/(100-BE113)*100</f>
        <v>0</v>
      </c>
      <c r="BE113" s="33">
        <v>0</v>
      </c>
      <c r="BF113" s="33">
        <f>113</f>
        <v>113</v>
      </c>
      <c r="BH113" s="16">
        <f>G113*AO113</f>
        <v>0</v>
      </c>
      <c r="BI113" s="16">
        <f>G113*AP113</f>
        <v>0</v>
      </c>
      <c r="BJ113" s="16">
        <f>G113*H113</f>
        <v>0</v>
      </c>
    </row>
    <row r="114" spans="3:5" ht="12.75">
      <c r="C114" s="155" t="s">
        <v>460</v>
      </c>
      <c r="D114" s="156"/>
      <c r="E114" s="156"/>
    </row>
    <row r="115" spans="3:7" ht="10.5" customHeight="1">
      <c r="C115" s="153" t="s">
        <v>429</v>
      </c>
      <c r="D115" s="154"/>
      <c r="E115" s="154"/>
      <c r="G115" s="17">
        <v>1</v>
      </c>
    </row>
    <row r="116" spans="1:62" ht="12.75">
      <c r="A116" s="4" t="s">
        <v>44</v>
      </c>
      <c r="B116" s="4" t="s">
        <v>239</v>
      </c>
      <c r="C116" s="151" t="s">
        <v>461</v>
      </c>
      <c r="D116" s="152"/>
      <c r="E116" s="152"/>
      <c r="F116" s="4" t="s">
        <v>748</v>
      </c>
      <c r="G116" s="16">
        <v>2</v>
      </c>
      <c r="H116" s="16">
        <v>0</v>
      </c>
      <c r="I116" s="16">
        <f>G116*AO116</f>
        <v>0</v>
      </c>
      <c r="J116" s="16">
        <f>G116*AP116</f>
        <v>0</v>
      </c>
      <c r="K116" s="16">
        <f>G116*H116</f>
        <v>0</v>
      </c>
      <c r="L116" s="28" t="s">
        <v>775</v>
      </c>
      <c r="Z116" s="33">
        <f>IF(AQ116="5",BJ116,0)</f>
        <v>0</v>
      </c>
      <c r="AB116" s="33">
        <f>IF(AQ116="1",BH116,0)</f>
        <v>0</v>
      </c>
      <c r="AC116" s="33">
        <f>IF(AQ116="1",BI116,0)</f>
        <v>0</v>
      </c>
      <c r="AD116" s="33">
        <f>IF(AQ116="7",BH116,0)</f>
        <v>0</v>
      </c>
      <c r="AE116" s="33">
        <f>IF(AQ116="7",BI116,0)</f>
        <v>0</v>
      </c>
      <c r="AF116" s="33">
        <f>IF(AQ116="2",BH116,0)</f>
        <v>0</v>
      </c>
      <c r="AG116" s="33">
        <f>IF(AQ116="2",BI116,0)</f>
        <v>0</v>
      </c>
      <c r="AH116" s="33">
        <f>IF(AQ116="0",BJ116,0)</f>
        <v>0</v>
      </c>
      <c r="AI116" s="29"/>
      <c r="AJ116" s="16">
        <f>IF(AN116=0,K116,0)</f>
        <v>0</v>
      </c>
      <c r="AK116" s="16">
        <f>IF(AN116=15,K116,0)</f>
        <v>0</v>
      </c>
      <c r="AL116" s="16">
        <f>IF(AN116=21,K116,0)</f>
        <v>0</v>
      </c>
      <c r="AN116" s="33">
        <v>15</v>
      </c>
      <c r="AO116" s="33">
        <f>H116*0</f>
        <v>0</v>
      </c>
      <c r="AP116" s="33">
        <f>H116*(1-0)</f>
        <v>0</v>
      </c>
      <c r="AQ116" s="28" t="s">
        <v>13</v>
      </c>
      <c r="AV116" s="33">
        <f>AW116+AX116</f>
        <v>0</v>
      </c>
      <c r="AW116" s="33">
        <f>G116*AO116</f>
        <v>0</v>
      </c>
      <c r="AX116" s="33">
        <f>G116*AP116</f>
        <v>0</v>
      </c>
      <c r="AY116" s="34" t="s">
        <v>796</v>
      </c>
      <c r="AZ116" s="34" t="s">
        <v>815</v>
      </c>
      <c r="BA116" s="29" t="s">
        <v>820</v>
      </c>
      <c r="BC116" s="33">
        <f>AW116+AX116</f>
        <v>0</v>
      </c>
      <c r="BD116" s="33">
        <f>H116/(100-BE116)*100</f>
        <v>0</v>
      </c>
      <c r="BE116" s="33">
        <v>0</v>
      </c>
      <c r="BF116" s="33">
        <f>116</f>
        <v>116</v>
      </c>
      <c r="BH116" s="16">
        <f>G116*AO116</f>
        <v>0</v>
      </c>
      <c r="BI116" s="16">
        <f>G116*AP116</f>
        <v>0</v>
      </c>
      <c r="BJ116" s="16">
        <f>G116*H116</f>
        <v>0</v>
      </c>
    </row>
    <row r="117" spans="3:5" ht="12.75">
      <c r="C117" s="155" t="s">
        <v>958</v>
      </c>
      <c r="D117" s="156"/>
      <c r="E117" s="156"/>
    </row>
    <row r="118" spans="3:7" ht="10.5" customHeight="1">
      <c r="C118" s="153" t="s">
        <v>382</v>
      </c>
      <c r="D118" s="154"/>
      <c r="E118" s="154"/>
      <c r="G118" s="17">
        <v>2</v>
      </c>
    </row>
    <row r="119" spans="1:62" ht="12.75">
      <c r="A119" s="4" t="s">
        <v>45</v>
      </c>
      <c r="B119" s="4" t="s">
        <v>239</v>
      </c>
      <c r="C119" s="151" t="s">
        <v>462</v>
      </c>
      <c r="D119" s="152"/>
      <c r="E119" s="152"/>
      <c r="F119" s="4" t="s">
        <v>748</v>
      </c>
      <c r="G119" s="16">
        <v>4</v>
      </c>
      <c r="H119" s="16">
        <v>0</v>
      </c>
      <c r="I119" s="16">
        <f>G119*AO119</f>
        <v>0</v>
      </c>
      <c r="J119" s="16">
        <f>G119*AP119</f>
        <v>0</v>
      </c>
      <c r="K119" s="16">
        <f>G119*H119</f>
        <v>0</v>
      </c>
      <c r="L119" s="28" t="s">
        <v>775</v>
      </c>
      <c r="Z119" s="33">
        <f>IF(AQ119="5",BJ119,0)</f>
        <v>0</v>
      </c>
      <c r="AB119" s="33">
        <f>IF(AQ119="1",BH119,0)</f>
        <v>0</v>
      </c>
      <c r="AC119" s="33">
        <f>IF(AQ119="1",BI119,0)</f>
        <v>0</v>
      </c>
      <c r="AD119" s="33">
        <f>IF(AQ119="7",BH119,0)</f>
        <v>0</v>
      </c>
      <c r="AE119" s="33">
        <f>IF(AQ119="7",BI119,0)</f>
        <v>0</v>
      </c>
      <c r="AF119" s="33">
        <f>IF(AQ119="2",BH119,0)</f>
        <v>0</v>
      </c>
      <c r="AG119" s="33">
        <f>IF(AQ119="2",BI119,0)</f>
        <v>0</v>
      </c>
      <c r="AH119" s="33">
        <f>IF(AQ119="0",BJ119,0)</f>
        <v>0</v>
      </c>
      <c r="AI119" s="29"/>
      <c r="AJ119" s="16">
        <f>IF(AN119=0,K119,0)</f>
        <v>0</v>
      </c>
      <c r="AK119" s="16">
        <f>IF(AN119=15,K119,0)</f>
        <v>0</v>
      </c>
      <c r="AL119" s="16">
        <f>IF(AN119=21,K119,0)</f>
        <v>0</v>
      </c>
      <c r="AN119" s="33">
        <v>15</v>
      </c>
      <c r="AO119" s="33">
        <f>H119*0</f>
        <v>0</v>
      </c>
      <c r="AP119" s="33">
        <f>H119*(1-0)</f>
        <v>0</v>
      </c>
      <c r="AQ119" s="28" t="s">
        <v>13</v>
      </c>
      <c r="AV119" s="33">
        <f>AW119+AX119</f>
        <v>0</v>
      </c>
      <c r="AW119" s="33">
        <f>G119*AO119</f>
        <v>0</v>
      </c>
      <c r="AX119" s="33">
        <f>G119*AP119</f>
        <v>0</v>
      </c>
      <c r="AY119" s="34" t="s">
        <v>796</v>
      </c>
      <c r="AZ119" s="34" t="s">
        <v>815</v>
      </c>
      <c r="BA119" s="29" t="s">
        <v>820</v>
      </c>
      <c r="BC119" s="33">
        <f>AW119+AX119</f>
        <v>0</v>
      </c>
      <c r="BD119" s="33">
        <f>H119/(100-BE119)*100</f>
        <v>0</v>
      </c>
      <c r="BE119" s="33">
        <v>0</v>
      </c>
      <c r="BF119" s="33">
        <f>119</f>
        <v>119</v>
      </c>
      <c r="BH119" s="16">
        <f>G119*AO119</f>
        <v>0</v>
      </c>
      <c r="BI119" s="16">
        <f>G119*AP119</f>
        <v>0</v>
      </c>
      <c r="BJ119" s="16">
        <f>G119*H119</f>
        <v>0</v>
      </c>
    </row>
    <row r="120" spans="3:5" ht="12.75">
      <c r="C120" s="155" t="s">
        <v>463</v>
      </c>
      <c r="D120" s="156"/>
      <c r="E120" s="156"/>
    </row>
    <row r="121" spans="3:7" ht="10.5" customHeight="1">
      <c r="C121" s="153" t="s">
        <v>464</v>
      </c>
      <c r="D121" s="154"/>
      <c r="E121" s="154"/>
      <c r="G121" s="17">
        <v>4</v>
      </c>
    </row>
    <row r="122" spans="1:62" ht="12.75">
      <c r="A122" s="4" t="s">
        <v>46</v>
      </c>
      <c r="B122" s="4" t="s">
        <v>239</v>
      </c>
      <c r="C122" s="151" t="s">
        <v>465</v>
      </c>
      <c r="D122" s="152"/>
      <c r="E122" s="152"/>
      <c r="F122" s="4" t="s">
        <v>748</v>
      </c>
      <c r="G122" s="16">
        <v>5</v>
      </c>
      <c r="H122" s="16">
        <v>0</v>
      </c>
      <c r="I122" s="16">
        <f>G122*AO122</f>
        <v>0</v>
      </c>
      <c r="J122" s="16">
        <f>G122*AP122</f>
        <v>0</v>
      </c>
      <c r="K122" s="16">
        <f>G122*H122</f>
        <v>0</v>
      </c>
      <c r="L122" s="28" t="s">
        <v>775</v>
      </c>
      <c r="Z122" s="33">
        <f>IF(AQ122="5",BJ122,0)</f>
        <v>0</v>
      </c>
      <c r="AB122" s="33">
        <f>IF(AQ122="1",BH122,0)</f>
        <v>0</v>
      </c>
      <c r="AC122" s="33">
        <f>IF(AQ122="1",BI122,0)</f>
        <v>0</v>
      </c>
      <c r="AD122" s="33">
        <f>IF(AQ122="7",BH122,0)</f>
        <v>0</v>
      </c>
      <c r="AE122" s="33">
        <f>IF(AQ122="7",BI122,0)</f>
        <v>0</v>
      </c>
      <c r="AF122" s="33">
        <f>IF(AQ122="2",BH122,0)</f>
        <v>0</v>
      </c>
      <c r="AG122" s="33">
        <f>IF(AQ122="2",BI122,0)</f>
        <v>0</v>
      </c>
      <c r="AH122" s="33">
        <f>IF(AQ122="0",BJ122,0)</f>
        <v>0</v>
      </c>
      <c r="AI122" s="29"/>
      <c r="AJ122" s="16">
        <f>IF(AN122=0,K122,0)</f>
        <v>0</v>
      </c>
      <c r="AK122" s="16">
        <f>IF(AN122=15,K122,0)</f>
        <v>0</v>
      </c>
      <c r="AL122" s="16">
        <f>IF(AN122=21,K122,0)</f>
        <v>0</v>
      </c>
      <c r="AN122" s="33">
        <v>15</v>
      </c>
      <c r="AO122" s="33">
        <f>H122*0</f>
        <v>0</v>
      </c>
      <c r="AP122" s="33">
        <f>H122*(1-0)</f>
        <v>0</v>
      </c>
      <c r="AQ122" s="28" t="s">
        <v>13</v>
      </c>
      <c r="AV122" s="33">
        <f>AW122+AX122</f>
        <v>0</v>
      </c>
      <c r="AW122" s="33">
        <f>G122*AO122</f>
        <v>0</v>
      </c>
      <c r="AX122" s="33">
        <f>G122*AP122</f>
        <v>0</v>
      </c>
      <c r="AY122" s="34" t="s">
        <v>796</v>
      </c>
      <c r="AZ122" s="34" t="s">
        <v>815</v>
      </c>
      <c r="BA122" s="29" t="s">
        <v>820</v>
      </c>
      <c r="BC122" s="33">
        <f>AW122+AX122</f>
        <v>0</v>
      </c>
      <c r="BD122" s="33">
        <f>H122/(100-BE122)*100</f>
        <v>0</v>
      </c>
      <c r="BE122" s="33">
        <v>0</v>
      </c>
      <c r="BF122" s="33">
        <f>122</f>
        <v>122</v>
      </c>
      <c r="BH122" s="16">
        <f>G122*AO122</f>
        <v>0</v>
      </c>
      <c r="BI122" s="16">
        <f>G122*AP122</f>
        <v>0</v>
      </c>
      <c r="BJ122" s="16">
        <f>G122*H122</f>
        <v>0</v>
      </c>
    </row>
    <row r="123" spans="3:5" ht="12.75">
      <c r="C123" s="155" t="s">
        <v>466</v>
      </c>
      <c r="D123" s="156"/>
      <c r="E123" s="156"/>
    </row>
    <row r="124" spans="3:7" ht="10.5" customHeight="1">
      <c r="C124" s="153" t="s">
        <v>458</v>
      </c>
      <c r="D124" s="154"/>
      <c r="E124" s="154"/>
      <c r="G124" s="17">
        <v>5</v>
      </c>
    </row>
    <row r="125" spans="1:62" ht="12.75">
      <c r="A125" s="4" t="s">
        <v>47</v>
      </c>
      <c r="B125" s="4" t="s">
        <v>239</v>
      </c>
      <c r="C125" s="151" t="s">
        <v>467</v>
      </c>
      <c r="D125" s="152"/>
      <c r="E125" s="152"/>
      <c r="F125" s="4" t="s">
        <v>748</v>
      </c>
      <c r="G125" s="16">
        <v>3</v>
      </c>
      <c r="H125" s="16">
        <v>0</v>
      </c>
      <c r="I125" s="16">
        <f>G125*AO125</f>
        <v>0</v>
      </c>
      <c r="J125" s="16">
        <f>G125*AP125</f>
        <v>0</v>
      </c>
      <c r="K125" s="16">
        <f>G125*H125</f>
        <v>0</v>
      </c>
      <c r="L125" s="28" t="s">
        <v>775</v>
      </c>
      <c r="Z125" s="33">
        <f>IF(AQ125="5",BJ125,0)</f>
        <v>0</v>
      </c>
      <c r="AB125" s="33">
        <f>IF(AQ125="1",BH125,0)</f>
        <v>0</v>
      </c>
      <c r="AC125" s="33">
        <f>IF(AQ125="1",BI125,0)</f>
        <v>0</v>
      </c>
      <c r="AD125" s="33">
        <f>IF(AQ125="7",BH125,0)</f>
        <v>0</v>
      </c>
      <c r="AE125" s="33">
        <f>IF(AQ125="7",BI125,0)</f>
        <v>0</v>
      </c>
      <c r="AF125" s="33">
        <f>IF(AQ125="2",BH125,0)</f>
        <v>0</v>
      </c>
      <c r="AG125" s="33">
        <f>IF(AQ125="2",BI125,0)</f>
        <v>0</v>
      </c>
      <c r="AH125" s="33">
        <f>IF(AQ125="0",BJ125,0)</f>
        <v>0</v>
      </c>
      <c r="AI125" s="29"/>
      <c r="AJ125" s="16">
        <f>IF(AN125=0,K125,0)</f>
        <v>0</v>
      </c>
      <c r="AK125" s="16">
        <f>IF(AN125=15,K125,0)</f>
        <v>0</v>
      </c>
      <c r="AL125" s="16">
        <f>IF(AN125=21,K125,0)</f>
        <v>0</v>
      </c>
      <c r="AN125" s="33">
        <v>15</v>
      </c>
      <c r="AO125" s="33">
        <f>H125*0</f>
        <v>0</v>
      </c>
      <c r="AP125" s="33">
        <f>H125*(1-0)</f>
        <v>0</v>
      </c>
      <c r="AQ125" s="28" t="s">
        <v>13</v>
      </c>
      <c r="AV125" s="33">
        <f>AW125+AX125</f>
        <v>0</v>
      </c>
      <c r="AW125" s="33">
        <f>G125*AO125</f>
        <v>0</v>
      </c>
      <c r="AX125" s="33">
        <f>G125*AP125</f>
        <v>0</v>
      </c>
      <c r="AY125" s="34" t="s">
        <v>796</v>
      </c>
      <c r="AZ125" s="34" t="s">
        <v>815</v>
      </c>
      <c r="BA125" s="29" t="s">
        <v>820</v>
      </c>
      <c r="BC125" s="33">
        <f>AW125+AX125</f>
        <v>0</v>
      </c>
      <c r="BD125" s="33">
        <f>H125/(100-BE125)*100</f>
        <v>0</v>
      </c>
      <c r="BE125" s="33">
        <v>0</v>
      </c>
      <c r="BF125" s="33">
        <f>125</f>
        <v>125</v>
      </c>
      <c r="BH125" s="16">
        <f>G125*AO125</f>
        <v>0</v>
      </c>
      <c r="BI125" s="16">
        <f>G125*AP125</f>
        <v>0</v>
      </c>
      <c r="BJ125" s="16">
        <f>G125*H125</f>
        <v>0</v>
      </c>
    </row>
    <row r="126" spans="3:5" ht="12.75">
      <c r="C126" s="155" t="s">
        <v>468</v>
      </c>
      <c r="D126" s="156"/>
      <c r="E126" s="156"/>
    </row>
    <row r="127" spans="3:7" ht="10.5" customHeight="1">
      <c r="C127" s="153" t="s">
        <v>469</v>
      </c>
      <c r="D127" s="154"/>
      <c r="E127" s="154"/>
      <c r="G127" s="17">
        <v>3</v>
      </c>
    </row>
    <row r="128" spans="1:62" ht="12.75">
      <c r="A128" s="4" t="s">
        <v>48</v>
      </c>
      <c r="B128" s="4" t="s">
        <v>239</v>
      </c>
      <c r="C128" s="151" t="s">
        <v>470</v>
      </c>
      <c r="D128" s="152"/>
      <c r="E128" s="152"/>
      <c r="F128" s="4" t="s">
        <v>748</v>
      </c>
      <c r="G128" s="16">
        <v>2</v>
      </c>
      <c r="H128" s="16">
        <v>0</v>
      </c>
      <c r="I128" s="16">
        <f>G128*AO128</f>
        <v>0</v>
      </c>
      <c r="J128" s="16">
        <f>G128*AP128</f>
        <v>0</v>
      </c>
      <c r="K128" s="16">
        <f>G128*H128</f>
        <v>0</v>
      </c>
      <c r="L128" s="28" t="s">
        <v>775</v>
      </c>
      <c r="Z128" s="33">
        <f>IF(AQ128="5",BJ128,0)</f>
        <v>0</v>
      </c>
      <c r="AB128" s="33">
        <f>IF(AQ128="1",BH128,0)</f>
        <v>0</v>
      </c>
      <c r="AC128" s="33">
        <f>IF(AQ128="1",BI128,0)</f>
        <v>0</v>
      </c>
      <c r="AD128" s="33">
        <f>IF(AQ128="7",BH128,0)</f>
        <v>0</v>
      </c>
      <c r="AE128" s="33">
        <f>IF(AQ128="7",BI128,0)</f>
        <v>0</v>
      </c>
      <c r="AF128" s="33">
        <f>IF(AQ128="2",BH128,0)</f>
        <v>0</v>
      </c>
      <c r="AG128" s="33">
        <f>IF(AQ128="2",BI128,0)</f>
        <v>0</v>
      </c>
      <c r="AH128" s="33">
        <f>IF(AQ128="0",BJ128,0)</f>
        <v>0</v>
      </c>
      <c r="AI128" s="29"/>
      <c r="AJ128" s="16">
        <f>IF(AN128=0,K128,0)</f>
        <v>0</v>
      </c>
      <c r="AK128" s="16">
        <f>IF(AN128=15,K128,0)</f>
        <v>0</v>
      </c>
      <c r="AL128" s="16">
        <f>IF(AN128=21,K128,0)</f>
        <v>0</v>
      </c>
      <c r="AN128" s="33">
        <v>15</v>
      </c>
      <c r="AO128" s="33">
        <f>H128*0</f>
        <v>0</v>
      </c>
      <c r="AP128" s="33">
        <f>H128*(1-0)</f>
        <v>0</v>
      </c>
      <c r="AQ128" s="28" t="s">
        <v>13</v>
      </c>
      <c r="AV128" s="33">
        <f>AW128+AX128</f>
        <v>0</v>
      </c>
      <c r="AW128" s="33">
        <f>G128*AO128</f>
        <v>0</v>
      </c>
      <c r="AX128" s="33">
        <f>G128*AP128</f>
        <v>0</v>
      </c>
      <c r="AY128" s="34" t="s">
        <v>796</v>
      </c>
      <c r="AZ128" s="34" t="s">
        <v>815</v>
      </c>
      <c r="BA128" s="29" t="s">
        <v>820</v>
      </c>
      <c r="BC128" s="33">
        <f>AW128+AX128</f>
        <v>0</v>
      </c>
      <c r="BD128" s="33">
        <f>H128/(100-BE128)*100</f>
        <v>0</v>
      </c>
      <c r="BE128" s="33">
        <v>0</v>
      </c>
      <c r="BF128" s="33">
        <f>128</f>
        <v>128</v>
      </c>
      <c r="BH128" s="16">
        <f>G128*AO128</f>
        <v>0</v>
      </c>
      <c r="BI128" s="16">
        <f>G128*AP128</f>
        <v>0</v>
      </c>
      <c r="BJ128" s="16">
        <f>G128*H128</f>
        <v>0</v>
      </c>
    </row>
    <row r="129" spans="3:5" ht="12.75">
      <c r="C129" s="155" t="s">
        <v>471</v>
      </c>
      <c r="D129" s="156"/>
      <c r="E129" s="156"/>
    </row>
    <row r="130" spans="3:7" ht="10.5" customHeight="1">
      <c r="C130" s="153" t="s">
        <v>382</v>
      </c>
      <c r="D130" s="154"/>
      <c r="E130" s="154"/>
      <c r="G130" s="17">
        <v>2</v>
      </c>
    </row>
    <row r="131" spans="1:62" ht="12.75">
      <c r="A131" s="4" t="s">
        <v>49</v>
      </c>
      <c r="B131" s="4" t="s">
        <v>239</v>
      </c>
      <c r="C131" s="151" t="s">
        <v>472</v>
      </c>
      <c r="D131" s="152"/>
      <c r="E131" s="152"/>
      <c r="F131" s="4" t="s">
        <v>748</v>
      </c>
      <c r="G131" s="16">
        <v>2</v>
      </c>
      <c r="H131" s="16">
        <v>0</v>
      </c>
      <c r="I131" s="16">
        <f>G131*AO131</f>
        <v>0</v>
      </c>
      <c r="J131" s="16">
        <f>G131*AP131</f>
        <v>0</v>
      </c>
      <c r="K131" s="16">
        <f>G131*H131</f>
        <v>0</v>
      </c>
      <c r="L131" s="28" t="s">
        <v>775</v>
      </c>
      <c r="Z131" s="33">
        <f>IF(AQ131="5",BJ131,0)</f>
        <v>0</v>
      </c>
      <c r="AB131" s="33">
        <f>IF(AQ131="1",BH131,0)</f>
        <v>0</v>
      </c>
      <c r="AC131" s="33">
        <f>IF(AQ131="1",BI131,0)</f>
        <v>0</v>
      </c>
      <c r="AD131" s="33">
        <f>IF(AQ131="7",BH131,0)</f>
        <v>0</v>
      </c>
      <c r="AE131" s="33">
        <f>IF(AQ131="7",BI131,0)</f>
        <v>0</v>
      </c>
      <c r="AF131" s="33">
        <f>IF(AQ131="2",BH131,0)</f>
        <v>0</v>
      </c>
      <c r="AG131" s="33">
        <f>IF(AQ131="2",BI131,0)</f>
        <v>0</v>
      </c>
      <c r="AH131" s="33">
        <f>IF(AQ131="0",BJ131,0)</f>
        <v>0</v>
      </c>
      <c r="AI131" s="29"/>
      <c r="AJ131" s="16">
        <f>IF(AN131=0,K131,0)</f>
        <v>0</v>
      </c>
      <c r="AK131" s="16">
        <f>IF(AN131=15,K131,0)</f>
        <v>0</v>
      </c>
      <c r="AL131" s="16">
        <f>IF(AN131=21,K131,0)</f>
        <v>0</v>
      </c>
      <c r="AN131" s="33">
        <v>15</v>
      </c>
      <c r="AO131" s="33">
        <f>H131*0</f>
        <v>0</v>
      </c>
      <c r="AP131" s="33">
        <f>H131*(1-0)</f>
        <v>0</v>
      </c>
      <c r="AQ131" s="28" t="s">
        <v>13</v>
      </c>
      <c r="AV131" s="33">
        <f>AW131+AX131</f>
        <v>0</v>
      </c>
      <c r="AW131" s="33">
        <f>G131*AO131</f>
        <v>0</v>
      </c>
      <c r="AX131" s="33">
        <f>G131*AP131</f>
        <v>0</v>
      </c>
      <c r="AY131" s="34" t="s">
        <v>796</v>
      </c>
      <c r="AZ131" s="34" t="s">
        <v>815</v>
      </c>
      <c r="BA131" s="29" t="s">
        <v>820</v>
      </c>
      <c r="BC131" s="33">
        <f>AW131+AX131</f>
        <v>0</v>
      </c>
      <c r="BD131" s="33">
        <f>H131/(100-BE131)*100</f>
        <v>0</v>
      </c>
      <c r="BE131" s="33">
        <v>0</v>
      </c>
      <c r="BF131" s="33">
        <f>131</f>
        <v>131</v>
      </c>
      <c r="BH131" s="16">
        <f>G131*AO131</f>
        <v>0</v>
      </c>
      <c r="BI131" s="16">
        <f>G131*AP131</f>
        <v>0</v>
      </c>
      <c r="BJ131" s="16">
        <f>G131*H131</f>
        <v>0</v>
      </c>
    </row>
    <row r="132" spans="3:5" ht="12.75">
      <c r="C132" s="155" t="s">
        <v>473</v>
      </c>
      <c r="D132" s="156"/>
      <c r="E132" s="156"/>
    </row>
    <row r="133" spans="3:7" ht="10.5" customHeight="1">
      <c r="C133" s="153" t="s">
        <v>382</v>
      </c>
      <c r="D133" s="154"/>
      <c r="E133" s="154"/>
      <c r="G133" s="17">
        <v>2</v>
      </c>
    </row>
    <row r="134" spans="1:62" ht="12.75">
      <c r="A134" s="4" t="s">
        <v>50</v>
      </c>
      <c r="B134" s="4" t="s">
        <v>239</v>
      </c>
      <c r="C134" s="151" t="s">
        <v>474</v>
      </c>
      <c r="D134" s="152"/>
      <c r="E134" s="152"/>
      <c r="F134" s="4" t="s">
        <v>748</v>
      </c>
      <c r="G134" s="16">
        <v>1</v>
      </c>
      <c r="H134" s="16">
        <v>0</v>
      </c>
      <c r="I134" s="16">
        <f>G134*AO134</f>
        <v>0</v>
      </c>
      <c r="J134" s="16">
        <f>G134*AP134</f>
        <v>0</v>
      </c>
      <c r="K134" s="16">
        <f>G134*H134</f>
        <v>0</v>
      </c>
      <c r="L134" s="28" t="s">
        <v>775</v>
      </c>
      <c r="Z134" s="33">
        <f>IF(AQ134="5",BJ134,0)</f>
        <v>0</v>
      </c>
      <c r="AB134" s="33">
        <f>IF(AQ134="1",BH134,0)</f>
        <v>0</v>
      </c>
      <c r="AC134" s="33">
        <f>IF(AQ134="1",BI134,0)</f>
        <v>0</v>
      </c>
      <c r="AD134" s="33">
        <f>IF(AQ134="7",BH134,0)</f>
        <v>0</v>
      </c>
      <c r="AE134" s="33">
        <f>IF(AQ134="7",BI134,0)</f>
        <v>0</v>
      </c>
      <c r="AF134" s="33">
        <f>IF(AQ134="2",BH134,0)</f>
        <v>0</v>
      </c>
      <c r="AG134" s="33">
        <f>IF(AQ134="2",BI134,0)</f>
        <v>0</v>
      </c>
      <c r="AH134" s="33">
        <f>IF(AQ134="0",BJ134,0)</f>
        <v>0</v>
      </c>
      <c r="AI134" s="29"/>
      <c r="AJ134" s="16">
        <f>IF(AN134=0,K134,0)</f>
        <v>0</v>
      </c>
      <c r="AK134" s="16">
        <f>IF(AN134=15,K134,0)</f>
        <v>0</v>
      </c>
      <c r="AL134" s="16">
        <f>IF(AN134=21,K134,0)</f>
        <v>0</v>
      </c>
      <c r="AN134" s="33">
        <v>15</v>
      </c>
      <c r="AO134" s="33">
        <f>H134*0</f>
        <v>0</v>
      </c>
      <c r="AP134" s="33">
        <f>H134*(1-0)</f>
        <v>0</v>
      </c>
      <c r="AQ134" s="28" t="s">
        <v>13</v>
      </c>
      <c r="AV134" s="33">
        <f>AW134+AX134</f>
        <v>0</v>
      </c>
      <c r="AW134" s="33">
        <f>G134*AO134</f>
        <v>0</v>
      </c>
      <c r="AX134" s="33">
        <f>G134*AP134</f>
        <v>0</v>
      </c>
      <c r="AY134" s="34" t="s">
        <v>796</v>
      </c>
      <c r="AZ134" s="34" t="s">
        <v>815</v>
      </c>
      <c r="BA134" s="29" t="s">
        <v>820</v>
      </c>
      <c r="BC134" s="33">
        <f>AW134+AX134</f>
        <v>0</v>
      </c>
      <c r="BD134" s="33">
        <f>H134/(100-BE134)*100</f>
        <v>0</v>
      </c>
      <c r="BE134" s="33">
        <v>0</v>
      </c>
      <c r="BF134" s="33">
        <f>134</f>
        <v>134</v>
      </c>
      <c r="BH134" s="16">
        <f>G134*AO134</f>
        <v>0</v>
      </c>
      <c r="BI134" s="16">
        <f>G134*AP134</f>
        <v>0</v>
      </c>
      <c r="BJ134" s="16">
        <f>G134*H134</f>
        <v>0</v>
      </c>
    </row>
    <row r="135" spans="3:5" ht="12.75">
      <c r="C135" s="155" t="s">
        <v>475</v>
      </c>
      <c r="D135" s="156"/>
      <c r="E135" s="156"/>
    </row>
    <row r="136" spans="3:7" ht="10.5" customHeight="1">
      <c r="C136" s="153" t="s">
        <v>429</v>
      </c>
      <c r="D136" s="154"/>
      <c r="E136" s="154"/>
      <c r="G136" s="17">
        <v>1</v>
      </c>
    </row>
    <row r="137" spans="1:62" ht="12.75">
      <c r="A137" s="4" t="s">
        <v>51</v>
      </c>
      <c r="B137" s="4" t="s">
        <v>239</v>
      </c>
      <c r="C137" s="151" t="s">
        <v>476</v>
      </c>
      <c r="D137" s="152"/>
      <c r="E137" s="152"/>
      <c r="F137" s="4" t="s">
        <v>748</v>
      </c>
      <c r="G137" s="16">
        <v>1</v>
      </c>
      <c r="H137" s="16">
        <v>0</v>
      </c>
      <c r="I137" s="16">
        <f>G137*AO137</f>
        <v>0</v>
      </c>
      <c r="J137" s="16">
        <f>G137*AP137</f>
        <v>0</v>
      </c>
      <c r="K137" s="16">
        <f>G137*H137</f>
        <v>0</v>
      </c>
      <c r="L137" s="28" t="s">
        <v>775</v>
      </c>
      <c r="Z137" s="33">
        <f>IF(AQ137="5",BJ137,0)</f>
        <v>0</v>
      </c>
      <c r="AB137" s="33">
        <f>IF(AQ137="1",BH137,0)</f>
        <v>0</v>
      </c>
      <c r="AC137" s="33">
        <f>IF(AQ137="1",BI137,0)</f>
        <v>0</v>
      </c>
      <c r="AD137" s="33">
        <f>IF(AQ137="7",BH137,0)</f>
        <v>0</v>
      </c>
      <c r="AE137" s="33">
        <f>IF(AQ137="7",BI137,0)</f>
        <v>0</v>
      </c>
      <c r="AF137" s="33">
        <f>IF(AQ137="2",BH137,0)</f>
        <v>0</v>
      </c>
      <c r="AG137" s="33">
        <f>IF(AQ137="2",BI137,0)</f>
        <v>0</v>
      </c>
      <c r="AH137" s="33">
        <f>IF(AQ137="0",BJ137,0)</f>
        <v>0</v>
      </c>
      <c r="AI137" s="29"/>
      <c r="AJ137" s="16">
        <f>IF(AN137=0,K137,0)</f>
        <v>0</v>
      </c>
      <c r="AK137" s="16">
        <f>IF(AN137=15,K137,0)</f>
        <v>0</v>
      </c>
      <c r="AL137" s="16">
        <f>IF(AN137=21,K137,0)</f>
        <v>0</v>
      </c>
      <c r="AN137" s="33">
        <v>15</v>
      </c>
      <c r="AO137" s="33">
        <f>H137*0</f>
        <v>0</v>
      </c>
      <c r="AP137" s="33">
        <f>H137*(1-0)</f>
        <v>0</v>
      </c>
      <c r="AQ137" s="28" t="s">
        <v>13</v>
      </c>
      <c r="AV137" s="33">
        <f>AW137+AX137</f>
        <v>0</v>
      </c>
      <c r="AW137" s="33">
        <f>G137*AO137</f>
        <v>0</v>
      </c>
      <c r="AX137" s="33">
        <f>G137*AP137</f>
        <v>0</v>
      </c>
      <c r="AY137" s="34" t="s">
        <v>796</v>
      </c>
      <c r="AZ137" s="34" t="s">
        <v>815</v>
      </c>
      <c r="BA137" s="29" t="s">
        <v>820</v>
      </c>
      <c r="BC137" s="33">
        <f>AW137+AX137</f>
        <v>0</v>
      </c>
      <c r="BD137" s="33">
        <f>H137/(100-BE137)*100</f>
        <v>0</v>
      </c>
      <c r="BE137" s="33">
        <v>0</v>
      </c>
      <c r="BF137" s="33">
        <f>137</f>
        <v>137</v>
      </c>
      <c r="BH137" s="16">
        <f>G137*AO137</f>
        <v>0</v>
      </c>
      <c r="BI137" s="16">
        <f>G137*AP137</f>
        <v>0</v>
      </c>
      <c r="BJ137" s="16">
        <f>G137*H137</f>
        <v>0</v>
      </c>
    </row>
    <row r="138" spans="3:5" ht="12.75">
      <c r="C138" s="155" t="s">
        <v>477</v>
      </c>
      <c r="D138" s="156"/>
      <c r="E138" s="156"/>
    </row>
    <row r="139" spans="3:7" ht="10.5" customHeight="1">
      <c r="C139" s="153" t="s">
        <v>429</v>
      </c>
      <c r="D139" s="154"/>
      <c r="E139" s="154"/>
      <c r="G139" s="17">
        <v>1</v>
      </c>
    </row>
    <row r="140" spans="1:62" ht="12.75">
      <c r="A140" s="4" t="s">
        <v>52</v>
      </c>
      <c r="B140" s="4" t="s">
        <v>239</v>
      </c>
      <c r="C140" s="151" t="s">
        <v>478</v>
      </c>
      <c r="D140" s="152"/>
      <c r="E140" s="152"/>
      <c r="F140" s="4" t="s">
        <v>748</v>
      </c>
      <c r="G140" s="16">
        <v>1</v>
      </c>
      <c r="H140" s="16">
        <v>0</v>
      </c>
      <c r="I140" s="16">
        <f>G140*AO140</f>
        <v>0</v>
      </c>
      <c r="J140" s="16">
        <f>G140*AP140</f>
        <v>0</v>
      </c>
      <c r="K140" s="16">
        <f>G140*H140</f>
        <v>0</v>
      </c>
      <c r="L140" s="28" t="s">
        <v>775</v>
      </c>
      <c r="Z140" s="33">
        <f>IF(AQ140="5",BJ140,0)</f>
        <v>0</v>
      </c>
      <c r="AB140" s="33">
        <f>IF(AQ140="1",BH140,0)</f>
        <v>0</v>
      </c>
      <c r="AC140" s="33">
        <f>IF(AQ140="1",BI140,0)</f>
        <v>0</v>
      </c>
      <c r="AD140" s="33">
        <f>IF(AQ140="7",BH140,0)</f>
        <v>0</v>
      </c>
      <c r="AE140" s="33">
        <f>IF(AQ140="7",BI140,0)</f>
        <v>0</v>
      </c>
      <c r="AF140" s="33">
        <f>IF(AQ140="2",BH140,0)</f>
        <v>0</v>
      </c>
      <c r="AG140" s="33">
        <f>IF(AQ140="2",BI140,0)</f>
        <v>0</v>
      </c>
      <c r="AH140" s="33">
        <f>IF(AQ140="0",BJ140,0)</f>
        <v>0</v>
      </c>
      <c r="AI140" s="29"/>
      <c r="AJ140" s="16">
        <f>IF(AN140=0,K140,0)</f>
        <v>0</v>
      </c>
      <c r="AK140" s="16">
        <f>IF(AN140=15,K140,0)</f>
        <v>0</v>
      </c>
      <c r="AL140" s="16">
        <f>IF(AN140=21,K140,0)</f>
        <v>0</v>
      </c>
      <c r="AN140" s="33">
        <v>15</v>
      </c>
      <c r="AO140" s="33">
        <f>H140*0</f>
        <v>0</v>
      </c>
      <c r="AP140" s="33">
        <f>H140*(1-0)</f>
        <v>0</v>
      </c>
      <c r="AQ140" s="28" t="s">
        <v>13</v>
      </c>
      <c r="AV140" s="33">
        <f>AW140+AX140</f>
        <v>0</v>
      </c>
      <c r="AW140" s="33">
        <f>G140*AO140</f>
        <v>0</v>
      </c>
      <c r="AX140" s="33">
        <f>G140*AP140</f>
        <v>0</v>
      </c>
      <c r="AY140" s="34" t="s">
        <v>796</v>
      </c>
      <c r="AZ140" s="34" t="s">
        <v>815</v>
      </c>
      <c r="BA140" s="29" t="s">
        <v>820</v>
      </c>
      <c r="BC140" s="33">
        <f>AW140+AX140</f>
        <v>0</v>
      </c>
      <c r="BD140" s="33">
        <f>H140/(100-BE140)*100</f>
        <v>0</v>
      </c>
      <c r="BE140" s="33">
        <v>0</v>
      </c>
      <c r="BF140" s="33">
        <f>140</f>
        <v>140</v>
      </c>
      <c r="BH140" s="16">
        <f>G140*AO140</f>
        <v>0</v>
      </c>
      <c r="BI140" s="16">
        <f>G140*AP140</f>
        <v>0</v>
      </c>
      <c r="BJ140" s="16">
        <f>G140*H140</f>
        <v>0</v>
      </c>
    </row>
    <row r="141" spans="3:5" ht="12.75">
      <c r="C141" s="155" t="s">
        <v>479</v>
      </c>
      <c r="D141" s="156"/>
      <c r="E141" s="156"/>
    </row>
    <row r="142" spans="3:7" ht="10.5" customHeight="1">
      <c r="C142" s="153" t="s">
        <v>429</v>
      </c>
      <c r="D142" s="154"/>
      <c r="E142" s="154"/>
      <c r="G142" s="17">
        <v>1</v>
      </c>
    </row>
    <row r="143" spans="1:62" ht="12.75">
      <c r="A143" s="4" t="s">
        <v>53</v>
      </c>
      <c r="B143" s="4" t="s">
        <v>239</v>
      </c>
      <c r="C143" s="151" t="s">
        <v>480</v>
      </c>
      <c r="D143" s="152"/>
      <c r="E143" s="152"/>
      <c r="F143" s="4" t="s">
        <v>748</v>
      </c>
      <c r="G143" s="16">
        <v>1</v>
      </c>
      <c r="H143" s="16">
        <v>0</v>
      </c>
      <c r="I143" s="16">
        <f>G143*AO143</f>
        <v>0</v>
      </c>
      <c r="J143" s="16">
        <f>G143*AP143</f>
        <v>0</v>
      </c>
      <c r="K143" s="16">
        <f>G143*H143</f>
        <v>0</v>
      </c>
      <c r="L143" s="28" t="s">
        <v>775</v>
      </c>
      <c r="Z143" s="33">
        <f>IF(AQ143="5",BJ143,0)</f>
        <v>0</v>
      </c>
      <c r="AB143" s="33">
        <f>IF(AQ143="1",BH143,0)</f>
        <v>0</v>
      </c>
      <c r="AC143" s="33">
        <f>IF(AQ143="1",BI143,0)</f>
        <v>0</v>
      </c>
      <c r="AD143" s="33">
        <f>IF(AQ143="7",BH143,0)</f>
        <v>0</v>
      </c>
      <c r="AE143" s="33">
        <f>IF(AQ143="7",BI143,0)</f>
        <v>0</v>
      </c>
      <c r="AF143" s="33">
        <f>IF(AQ143="2",BH143,0)</f>
        <v>0</v>
      </c>
      <c r="AG143" s="33">
        <f>IF(AQ143="2",BI143,0)</f>
        <v>0</v>
      </c>
      <c r="AH143" s="33">
        <f>IF(AQ143="0",BJ143,0)</f>
        <v>0</v>
      </c>
      <c r="AI143" s="29"/>
      <c r="AJ143" s="16">
        <f>IF(AN143=0,K143,0)</f>
        <v>0</v>
      </c>
      <c r="AK143" s="16">
        <f>IF(AN143=15,K143,0)</f>
        <v>0</v>
      </c>
      <c r="AL143" s="16">
        <f>IF(AN143=21,K143,0)</f>
        <v>0</v>
      </c>
      <c r="AN143" s="33">
        <v>15</v>
      </c>
      <c r="AO143" s="33">
        <f>H143*0</f>
        <v>0</v>
      </c>
      <c r="AP143" s="33">
        <f>H143*(1-0)</f>
        <v>0</v>
      </c>
      <c r="AQ143" s="28" t="s">
        <v>13</v>
      </c>
      <c r="AV143" s="33">
        <f>AW143+AX143</f>
        <v>0</v>
      </c>
      <c r="AW143" s="33">
        <f>G143*AO143</f>
        <v>0</v>
      </c>
      <c r="AX143" s="33">
        <f>G143*AP143</f>
        <v>0</v>
      </c>
      <c r="AY143" s="34" t="s">
        <v>796</v>
      </c>
      <c r="AZ143" s="34" t="s">
        <v>815</v>
      </c>
      <c r="BA143" s="29" t="s">
        <v>820</v>
      </c>
      <c r="BC143" s="33">
        <f>AW143+AX143</f>
        <v>0</v>
      </c>
      <c r="BD143" s="33">
        <f>H143/(100-BE143)*100</f>
        <v>0</v>
      </c>
      <c r="BE143" s="33">
        <v>0</v>
      </c>
      <c r="BF143" s="33">
        <f>143</f>
        <v>143</v>
      </c>
      <c r="BH143" s="16">
        <f>G143*AO143</f>
        <v>0</v>
      </c>
      <c r="BI143" s="16">
        <f>G143*AP143</f>
        <v>0</v>
      </c>
      <c r="BJ143" s="16">
        <f>G143*H143</f>
        <v>0</v>
      </c>
    </row>
    <row r="144" spans="3:5" ht="12.75">
      <c r="C144" s="155" t="s">
        <v>481</v>
      </c>
      <c r="D144" s="156"/>
      <c r="E144" s="156"/>
    </row>
    <row r="145" spans="3:7" ht="10.5" customHeight="1">
      <c r="C145" s="153" t="s">
        <v>429</v>
      </c>
      <c r="D145" s="154"/>
      <c r="E145" s="154"/>
      <c r="G145" s="17">
        <v>1</v>
      </c>
    </row>
    <row r="146" spans="1:62" ht="12.75">
      <c r="A146" s="4" t="s">
        <v>54</v>
      </c>
      <c r="B146" s="4" t="s">
        <v>239</v>
      </c>
      <c r="C146" s="151" t="s">
        <v>482</v>
      </c>
      <c r="D146" s="152"/>
      <c r="E146" s="152"/>
      <c r="F146" s="4" t="s">
        <v>748</v>
      </c>
      <c r="G146" s="16">
        <v>1</v>
      </c>
      <c r="H146" s="16">
        <v>0</v>
      </c>
      <c r="I146" s="16">
        <f>G146*AO146</f>
        <v>0</v>
      </c>
      <c r="J146" s="16">
        <f>G146*AP146</f>
        <v>0</v>
      </c>
      <c r="K146" s="16">
        <f>G146*H146</f>
        <v>0</v>
      </c>
      <c r="L146" s="28" t="s">
        <v>775</v>
      </c>
      <c r="Z146" s="33">
        <f>IF(AQ146="5",BJ146,0)</f>
        <v>0</v>
      </c>
      <c r="AB146" s="33">
        <f>IF(AQ146="1",BH146,0)</f>
        <v>0</v>
      </c>
      <c r="AC146" s="33">
        <f>IF(AQ146="1",BI146,0)</f>
        <v>0</v>
      </c>
      <c r="AD146" s="33">
        <f>IF(AQ146="7",BH146,0)</f>
        <v>0</v>
      </c>
      <c r="AE146" s="33">
        <f>IF(AQ146="7",BI146,0)</f>
        <v>0</v>
      </c>
      <c r="AF146" s="33">
        <f>IF(AQ146="2",BH146,0)</f>
        <v>0</v>
      </c>
      <c r="AG146" s="33">
        <f>IF(AQ146="2",BI146,0)</f>
        <v>0</v>
      </c>
      <c r="AH146" s="33">
        <f>IF(AQ146="0",BJ146,0)</f>
        <v>0</v>
      </c>
      <c r="AI146" s="29"/>
      <c r="AJ146" s="16">
        <f>IF(AN146=0,K146,0)</f>
        <v>0</v>
      </c>
      <c r="AK146" s="16">
        <f>IF(AN146=15,K146,0)</f>
        <v>0</v>
      </c>
      <c r="AL146" s="16">
        <f>IF(AN146=21,K146,0)</f>
        <v>0</v>
      </c>
      <c r="AN146" s="33">
        <v>15</v>
      </c>
      <c r="AO146" s="33">
        <f>H146*0</f>
        <v>0</v>
      </c>
      <c r="AP146" s="33">
        <f>H146*(1-0)</f>
        <v>0</v>
      </c>
      <c r="AQ146" s="28" t="s">
        <v>13</v>
      </c>
      <c r="AV146" s="33">
        <f>AW146+AX146</f>
        <v>0</v>
      </c>
      <c r="AW146" s="33">
        <f>G146*AO146</f>
        <v>0</v>
      </c>
      <c r="AX146" s="33">
        <f>G146*AP146</f>
        <v>0</v>
      </c>
      <c r="AY146" s="34" t="s">
        <v>796</v>
      </c>
      <c r="AZ146" s="34" t="s">
        <v>815</v>
      </c>
      <c r="BA146" s="29" t="s">
        <v>820</v>
      </c>
      <c r="BC146" s="33">
        <f>AW146+AX146</f>
        <v>0</v>
      </c>
      <c r="BD146" s="33">
        <f>H146/(100-BE146)*100</f>
        <v>0</v>
      </c>
      <c r="BE146" s="33">
        <v>0</v>
      </c>
      <c r="BF146" s="33">
        <f>146</f>
        <v>146</v>
      </c>
      <c r="BH146" s="16">
        <f>G146*AO146</f>
        <v>0</v>
      </c>
      <c r="BI146" s="16">
        <f>G146*AP146</f>
        <v>0</v>
      </c>
      <c r="BJ146" s="16">
        <f>G146*H146</f>
        <v>0</v>
      </c>
    </row>
    <row r="147" spans="3:5" ht="12.75">
      <c r="C147" s="155" t="s">
        <v>483</v>
      </c>
      <c r="D147" s="156"/>
      <c r="E147" s="156"/>
    </row>
    <row r="148" spans="3:7" ht="10.5" customHeight="1">
      <c r="C148" s="153" t="s">
        <v>429</v>
      </c>
      <c r="D148" s="154"/>
      <c r="E148" s="154"/>
      <c r="G148" s="17">
        <v>1</v>
      </c>
    </row>
    <row r="149" spans="1:62" ht="12.75">
      <c r="A149" s="4" t="s">
        <v>55</v>
      </c>
      <c r="B149" s="4" t="s">
        <v>239</v>
      </c>
      <c r="C149" s="151" t="s">
        <v>484</v>
      </c>
      <c r="D149" s="152"/>
      <c r="E149" s="152"/>
      <c r="F149" s="4" t="s">
        <v>748</v>
      </c>
      <c r="G149" s="16">
        <v>1</v>
      </c>
      <c r="H149" s="16">
        <v>0</v>
      </c>
      <c r="I149" s="16">
        <f>G149*AO149</f>
        <v>0</v>
      </c>
      <c r="J149" s="16">
        <f>G149*AP149</f>
        <v>0</v>
      </c>
      <c r="K149" s="16">
        <f>G149*H149</f>
        <v>0</v>
      </c>
      <c r="L149" s="28" t="s">
        <v>775</v>
      </c>
      <c r="Z149" s="33">
        <f>IF(AQ149="5",BJ149,0)</f>
        <v>0</v>
      </c>
      <c r="AB149" s="33">
        <f>IF(AQ149="1",BH149,0)</f>
        <v>0</v>
      </c>
      <c r="AC149" s="33">
        <f>IF(AQ149="1",BI149,0)</f>
        <v>0</v>
      </c>
      <c r="AD149" s="33">
        <f>IF(AQ149="7",BH149,0)</f>
        <v>0</v>
      </c>
      <c r="AE149" s="33">
        <f>IF(AQ149="7",BI149,0)</f>
        <v>0</v>
      </c>
      <c r="AF149" s="33">
        <f>IF(AQ149="2",BH149,0)</f>
        <v>0</v>
      </c>
      <c r="AG149" s="33">
        <f>IF(AQ149="2",BI149,0)</f>
        <v>0</v>
      </c>
      <c r="AH149" s="33">
        <f>IF(AQ149="0",BJ149,0)</f>
        <v>0</v>
      </c>
      <c r="AI149" s="29"/>
      <c r="AJ149" s="16">
        <f>IF(AN149=0,K149,0)</f>
        <v>0</v>
      </c>
      <c r="AK149" s="16">
        <f>IF(AN149=15,K149,0)</f>
        <v>0</v>
      </c>
      <c r="AL149" s="16">
        <f>IF(AN149=21,K149,0)</f>
        <v>0</v>
      </c>
      <c r="AN149" s="33">
        <v>15</v>
      </c>
      <c r="AO149" s="33">
        <f>H149*0</f>
        <v>0</v>
      </c>
      <c r="AP149" s="33">
        <f>H149*(1-0)</f>
        <v>0</v>
      </c>
      <c r="AQ149" s="28" t="s">
        <v>13</v>
      </c>
      <c r="AV149" s="33">
        <f>AW149+AX149</f>
        <v>0</v>
      </c>
      <c r="AW149" s="33">
        <f>G149*AO149</f>
        <v>0</v>
      </c>
      <c r="AX149" s="33">
        <f>G149*AP149</f>
        <v>0</v>
      </c>
      <c r="AY149" s="34" t="s">
        <v>796</v>
      </c>
      <c r="AZ149" s="34" t="s">
        <v>815</v>
      </c>
      <c r="BA149" s="29" t="s">
        <v>820</v>
      </c>
      <c r="BC149" s="33">
        <f>AW149+AX149</f>
        <v>0</v>
      </c>
      <c r="BD149" s="33">
        <f>H149/(100-BE149)*100</f>
        <v>0</v>
      </c>
      <c r="BE149" s="33">
        <v>0</v>
      </c>
      <c r="BF149" s="33">
        <f>149</f>
        <v>149</v>
      </c>
      <c r="BH149" s="16">
        <f>G149*AO149</f>
        <v>0</v>
      </c>
      <c r="BI149" s="16">
        <f>G149*AP149</f>
        <v>0</v>
      </c>
      <c r="BJ149" s="16">
        <f>G149*H149</f>
        <v>0</v>
      </c>
    </row>
    <row r="150" spans="3:5" ht="12.75">
      <c r="C150" s="155" t="s">
        <v>485</v>
      </c>
      <c r="D150" s="156"/>
      <c r="E150" s="156"/>
    </row>
    <row r="151" spans="3:7" ht="10.5" customHeight="1">
      <c r="C151" s="153" t="s">
        <v>429</v>
      </c>
      <c r="D151" s="154"/>
      <c r="E151" s="154"/>
      <c r="G151" s="17">
        <v>1</v>
      </c>
    </row>
    <row r="152" spans="1:62" ht="12.75">
      <c r="A152" s="4" t="s">
        <v>56</v>
      </c>
      <c r="B152" s="4" t="s">
        <v>239</v>
      </c>
      <c r="C152" s="151" t="s">
        <v>486</v>
      </c>
      <c r="D152" s="152"/>
      <c r="E152" s="152"/>
      <c r="F152" s="4" t="s">
        <v>748</v>
      </c>
      <c r="G152" s="16">
        <v>1</v>
      </c>
      <c r="H152" s="16">
        <v>0</v>
      </c>
      <c r="I152" s="16">
        <f>G152*AO152</f>
        <v>0</v>
      </c>
      <c r="J152" s="16">
        <f>G152*AP152</f>
        <v>0</v>
      </c>
      <c r="K152" s="16">
        <f>G152*H152</f>
        <v>0</v>
      </c>
      <c r="L152" s="28" t="s">
        <v>775</v>
      </c>
      <c r="Z152" s="33">
        <f>IF(AQ152="5",BJ152,0)</f>
        <v>0</v>
      </c>
      <c r="AB152" s="33">
        <f>IF(AQ152="1",BH152,0)</f>
        <v>0</v>
      </c>
      <c r="AC152" s="33">
        <f>IF(AQ152="1",BI152,0)</f>
        <v>0</v>
      </c>
      <c r="AD152" s="33">
        <f>IF(AQ152="7",BH152,0)</f>
        <v>0</v>
      </c>
      <c r="AE152" s="33">
        <f>IF(AQ152="7",BI152,0)</f>
        <v>0</v>
      </c>
      <c r="AF152" s="33">
        <f>IF(AQ152="2",BH152,0)</f>
        <v>0</v>
      </c>
      <c r="AG152" s="33">
        <f>IF(AQ152="2",BI152,0)</f>
        <v>0</v>
      </c>
      <c r="AH152" s="33">
        <f>IF(AQ152="0",BJ152,0)</f>
        <v>0</v>
      </c>
      <c r="AI152" s="29"/>
      <c r="AJ152" s="16">
        <f>IF(AN152=0,K152,0)</f>
        <v>0</v>
      </c>
      <c r="AK152" s="16">
        <f>IF(AN152=15,K152,0)</f>
        <v>0</v>
      </c>
      <c r="AL152" s="16">
        <f>IF(AN152=21,K152,0)</f>
        <v>0</v>
      </c>
      <c r="AN152" s="33">
        <v>15</v>
      </c>
      <c r="AO152" s="33">
        <f>H152*0</f>
        <v>0</v>
      </c>
      <c r="AP152" s="33">
        <f>H152*(1-0)</f>
        <v>0</v>
      </c>
      <c r="AQ152" s="28" t="s">
        <v>13</v>
      </c>
      <c r="AV152" s="33">
        <f>AW152+AX152</f>
        <v>0</v>
      </c>
      <c r="AW152" s="33">
        <f>G152*AO152</f>
        <v>0</v>
      </c>
      <c r="AX152" s="33">
        <f>G152*AP152</f>
        <v>0</v>
      </c>
      <c r="AY152" s="34" t="s">
        <v>796</v>
      </c>
      <c r="AZ152" s="34" t="s">
        <v>815</v>
      </c>
      <c r="BA152" s="29" t="s">
        <v>820</v>
      </c>
      <c r="BC152" s="33">
        <f>AW152+AX152</f>
        <v>0</v>
      </c>
      <c r="BD152" s="33">
        <f>H152/(100-BE152)*100</f>
        <v>0</v>
      </c>
      <c r="BE152" s="33">
        <v>0</v>
      </c>
      <c r="BF152" s="33">
        <f>152</f>
        <v>152</v>
      </c>
      <c r="BH152" s="16">
        <f>G152*AO152</f>
        <v>0</v>
      </c>
      <c r="BI152" s="16">
        <f>G152*AP152</f>
        <v>0</v>
      </c>
      <c r="BJ152" s="16">
        <f>G152*H152</f>
        <v>0</v>
      </c>
    </row>
    <row r="153" spans="3:5" ht="12.75">
      <c r="C153" s="155" t="s">
        <v>487</v>
      </c>
      <c r="D153" s="156"/>
      <c r="E153" s="156"/>
    </row>
    <row r="154" spans="3:7" ht="10.5" customHeight="1">
      <c r="C154" s="153" t="s">
        <v>429</v>
      </c>
      <c r="D154" s="154"/>
      <c r="E154" s="154"/>
      <c r="G154" s="17">
        <v>1</v>
      </c>
    </row>
    <row r="155" spans="1:62" ht="12.75">
      <c r="A155" s="4" t="s">
        <v>57</v>
      </c>
      <c r="B155" s="4" t="s">
        <v>239</v>
      </c>
      <c r="C155" s="151" t="s">
        <v>488</v>
      </c>
      <c r="D155" s="152"/>
      <c r="E155" s="152"/>
      <c r="F155" s="4" t="s">
        <v>748</v>
      </c>
      <c r="G155" s="16">
        <v>2</v>
      </c>
      <c r="H155" s="16">
        <v>0</v>
      </c>
      <c r="I155" s="16">
        <f>G155*AO155</f>
        <v>0</v>
      </c>
      <c r="J155" s="16">
        <f>G155*AP155</f>
        <v>0</v>
      </c>
      <c r="K155" s="16">
        <f>G155*H155</f>
        <v>0</v>
      </c>
      <c r="L155" s="28" t="s">
        <v>775</v>
      </c>
      <c r="Z155" s="33">
        <f>IF(AQ155="5",BJ155,0)</f>
        <v>0</v>
      </c>
      <c r="AB155" s="33">
        <f>IF(AQ155="1",BH155,0)</f>
        <v>0</v>
      </c>
      <c r="AC155" s="33">
        <f>IF(AQ155="1",BI155,0)</f>
        <v>0</v>
      </c>
      <c r="AD155" s="33">
        <f>IF(AQ155="7",BH155,0)</f>
        <v>0</v>
      </c>
      <c r="AE155" s="33">
        <f>IF(AQ155="7",BI155,0)</f>
        <v>0</v>
      </c>
      <c r="AF155" s="33">
        <f>IF(AQ155="2",BH155,0)</f>
        <v>0</v>
      </c>
      <c r="AG155" s="33">
        <f>IF(AQ155="2",BI155,0)</f>
        <v>0</v>
      </c>
      <c r="AH155" s="33">
        <f>IF(AQ155="0",BJ155,0)</f>
        <v>0</v>
      </c>
      <c r="AI155" s="29"/>
      <c r="AJ155" s="16">
        <f>IF(AN155=0,K155,0)</f>
        <v>0</v>
      </c>
      <c r="AK155" s="16">
        <f>IF(AN155=15,K155,0)</f>
        <v>0</v>
      </c>
      <c r="AL155" s="16">
        <f>IF(AN155=21,K155,0)</f>
        <v>0</v>
      </c>
      <c r="AN155" s="33">
        <v>15</v>
      </c>
      <c r="AO155" s="33">
        <f>H155*0</f>
        <v>0</v>
      </c>
      <c r="AP155" s="33">
        <f>H155*(1-0)</f>
        <v>0</v>
      </c>
      <c r="AQ155" s="28" t="s">
        <v>13</v>
      </c>
      <c r="AV155" s="33">
        <f>AW155+AX155</f>
        <v>0</v>
      </c>
      <c r="AW155" s="33">
        <f>G155*AO155</f>
        <v>0</v>
      </c>
      <c r="AX155" s="33">
        <f>G155*AP155</f>
        <v>0</v>
      </c>
      <c r="AY155" s="34" t="s">
        <v>796</v>
      </c>
      <c r="AZ155" s="34" t="s">
        <v>815</v>
      </c>
      <c r="BA155" s="29" t="s">
        <v>820</v>
      </c>
      <c r="BC155" s="33">
        <f>AW155+AX155</f>
        <v>0</v>
      </c>
      <c r="BD155" s="33">
        <f>H155/(100-BE155)*100</f>
        <v>0</v>
      </c>
      <c r="BE155" s="33">
        <v>0</v>
      </c>
      <c r="BF155" s="33">
        <f>155</f>
        <v>155</v>
      </c>
      <c r="BH155" s="16">
        <f>G155*AO155</f>
        <v>0</v>
      </c>
      <c r="BI155" s="16">
        <f>G155*AP155</f>
        <v>0</v>
      </c>
      <c r="BJ155" s="16">
        <f>G155*H155</f>
        <v>0</v>
      </c>
    </row>
    <row r="156" spans="3:5" ht="12.75">
      <c r="C156" s="155" t="s">
        <v>489</v>
      </c>
      <c r="D156" s="156"/>
      <c r="E156" s="156"/>
    </row>
    <row r="157" spans="3:7" ht="10.5" customHeight="1">
      <c r="C157" s="153" t="s">
        <v>382</v>
      </c>
      <c r="D157" s="154"/>
      <c r="E157" s="154"/>
      <c r="G157" s="17">
        <v>2</v>
      </c>
    </row>
    <row r="158" spans="1:62" ht="12.75">
      <c r="A158" s="4" t="s">
        <v>58</v>
      </c>
      <c r="B158" s="4" t="s">
        <v>239</v>
      </c>
      <c r="C158" s="151" t="s">
        <v>490</v>
      </c>
      <c r="D158" s="152"/>
      <c r="E158" s="152"/>
      <c r="F158" s="4" t="s">
        <v>748</v>
      </c>
      <c r="G158" s="16">
        <v>1</v>
      </c>
      <c r="H158" s="16">
        <v>0</v>
      </c>
      <c r="I158" s="16">
        <f>G158*AO158</f>
        <v>0</v>
      </c>
      <c r="J158" s="16">
        <f>G158*AP158</f>
        <v>0</v>
      </c>
      <c r="K158" s="16">
        <f>G158*H158</f>
        <v>0</v>
      </c>
      <c r="L158" s="28" t="s">
        <v>775</v>
      </c>
      <c r="Z158" s="33">
        <f>IF(AQ158="5",BJ158,0)</f>
        <v>0</v>
      </c>
      <c r="AB158" s="33">
        <f>IF(AQ158="1",BH158,0)</f>
        <v>0</v>
      </c>
      <c r="AC158" s="33">
        <f>IF(AQ158="1",BI158,0)</f>
        <v>0</v>
      </c>
      <c r="AD158" s="33">
        <f>IF(AQ158="7",BH158,0)</f>
        <v>0</v>
      </c>
      <c r="AE158" s="33">
        <f>IF(AQ158="7",BI158,0)</f>
        <v>0</v>
      </c>
      <c r="AF158" s="33">
        <f>IF(AQ158="2",BH158,0)</f>
        <v>0</v>
      </c>
      <c r="AG158" s="33">
        <f>IF(AQ158="2",BI158,0)</f>
        <v>0</v>
      </c>
      <c r="AH158" s="33">
        <f>IF(AQ158="0",BJ158,0)</f>
        <v>0</v>
      </c>
      <c r="AI158" s="29"/>
      <c r="AJ158" s="16">
        <f>IF(AN158=0,K158,0)</f>
        <v>0</v>
      </c>
      <c r="AK158" s="16">
        <f>IF(AN158=15,K158,0)</f>
        <v>0</v>
      </c>
      <c r="AL158" s="16">
        <f>IF(AN158=21,K158,0)</f>
        <v>0</v>
      </c>
      <c r="AN158" s="33">
        <v>15</v>
      </c>
      <c r="AO158" s="33">
        <f>H158*0</f>
        <v>0</v>
      </c>
      <c r="AP158" s="33">
        <f>H158*(1-0)</f>
        <v>0</v>
      </c>
      <c r="AQ158" s="28" t="s">
        <v>13</v>
      </c>
      <c r="AV158" s="33">
        <f>AW158+AX158</f>
        <v>0</v>
      </c>
      <c r="AW158" s="33">
        <f>G158*AO158</f>
        <v>0</v>
      </c>
      <c r="AX158" s="33">
        <f>G158*AP158</f>
        <v>0</v>
      </c>
      <c r="AY158" s="34" t="s">
        <v>796</v>
      </c>
      <c r="AZ158" s="34" t="s">
        <v>815</v>
      </c>
      <c r="BA158" s="29" t="s">
        <v>820</v>
      </c>
      <c r="BC158" s="33">
        <f>AW158+AX158</f>
        <v>0</v>
      </c>
      <c r="BD158" s="33">
        <f>H158/(100-BE158)*100</f>
        <v>0</v>
      </c>
      <c r="BE158" s="33">
        <v>0</v>
      </c>
      <c r="BF158" s="33">
        <f>158</f>
        <v>158</v>
      </c>
      <c r="BH158" s="16">
        <f>G158*AO158</f>
        <v>0</v>
      </c>
      <c r="BI158" s="16">
        <f>G158*AP158</f>
        <v>0</v>
      </c>
      <c r="BJ158" s="16">
        <f>G158*H158</f>
        <v>0</v>
      </c>
    </row>
    <row r="159" spans="3:5" ht="12.75">
      <c r="C159" s="155" t="s">
        <v>491</v>
      </c>
      <c r="D159" s="156"/>
      <c r="E159" s="156"/>
    </row>
    <row r="160" spans="3:7" ht="10.5" customHeight="1">
      <c r="C160" s="153" t="s">
        <v>429</v>
      </c>
      <c r="D160" s="154"/>
      <c r="E160" s="154"/>
      <c r="G160" s="17">
        <v>1</v>
      </c>
    </row>
    <row r="161" spans="1:62" ht="12.75">
      <c r="A161" s="4" t="s">
        <v>59</v>
      </c>
      <c r="B161" s="4" t="s">
        <v>239</v>
      </c>
      <c r="C161" s="151" t="s">
        <v>492</v>
      </c>
      <c r="D161" s="152"/>
      <c r="E161" s="152"/>
      <c r="F161" s="4" t="s">
        <v>748</v>
      </c>
      <c r="G161" s="16">
        <v>1</v>
      </c>
      <c r="H161" s="16">
        <v>0</v>
      </c>
      <c r="I161" s="16">
        <f>G161*AO161</f>
        <v>0</v>
      </c>
      <c r="J161" s="16">
        <f>G161*AP161</f>
        <v>0</v>
      </c>
      <c r="K161" s="16">
        <f>G161*H161</f>
        <v>0</v>
      </c>
      <c r="L161" s="28" t="s">
        <v>775</v>
      </c>
      <c r="Z161" s="33">
        <f>IF(AQ161="5",BJ161,0)</f>
        <v>0</v>
      </c>
      <c r="AB161" s="33">
        <f>IF(AQ161="1",BH161,0)</f>
        <v>0</v>
      </c>
      <c r="AC161" s="33">
        <f>IF(AQ161="1",BI161,0)</f>
        <v>0</v>
      </c>
      <c r="AD161" s="33">
        <f>IF(AQ161="7",BH161,0)</f>
        <v>0</v>
      </c>
      <c r="AE161" s="33">
        <f>IF(AQ161="7",BI161,0)</f>
        <v>0</v>
      </c>
      <c r="AF161" s="33">
        <f>IF(AQ161="2",BH161,0)</f>
        <v>0</v>
      </c>
      <c r="AG161" s="33">
        <f>IF(AQ161="2",BI161,0)</f>
        <v>0</v>
      </c>
      <c r="AH161" s="33">
        <f>IF(AQ161="0",BJ161,0)</f>
        <v>0</v>
      </c>
      <c r="AI161" s="29"/>
      <c r="AJ161" s="16">
        <f>IF(AN161=0,K161,0)</f>
        <v>0</v>
      </c>
      <c r="AK161" s="16">
        <f>IF(AN161=15,K161,0)</f>
        <v>0</v>
      </c>
      <c r="AL161" s="16">
        <f>IF(AN161=21,K161,0)</f>
        <v>0</v>
      </c>
      <c r="AN161" s="33">
        <v>15</v>
      </c>
      <c r="AO161" s="33">
        <f>H161*0</f>
        <v>0</v>
      </c>
      <c r="AP161" s="33">
        <f>H161*(1-0)</f>
        <v>0</v>
      </c>
      <c r="AQ161" s="28" t="s">
        <v>13</v>
      </c>
      <c r="AV161" s="33">
        <f>AW161+AX161</f>
        <v>0</v>
      </c>
      <c r="AW161" s="33">
        <f>G161*AO161</f>
        <v>0</v>
      </c>
      <c r="AX161" s="33">
        <f>G161*AP161</f>
        <v>0</v>
      </c>
      <c r="AY161" s="34" t="s">
        <v>796</v>
      </c>
      <c r="AZ161" s="34" t="s">
        <v>815</v>
      </c>
      <c r="BA161" s="29" t="s">
        <v>820</v>
      </c>
      <c r="BC161" s="33">
        <f>AW161+AX161</f>
        <v>0</v>
      </c>
      <c r="BD161" s="33">
        <f>H161/(100-BE161)*100</f>
        <v>0</v>
      </c>
      <c r="BE161" s="33">
        <v>0</v>
      </c>
      <c r="BF161" s="33">
        <f>161</f>
        <v>161</v>
      </c>
      <c r="BH161" s="16">
        <f>G161*AO161</f>
        <v>0</v>
      </c>
      <c r="BI161" s="16">
        <f>G161*AP161</f>
        <v>0</v>
      </c>
      <c r="BJ161" s="16">
        <f>G161*H161</f>
        <v>0</v>
      </c>
    </row>
    <row r="162" spans="3:5" ht="12.75">
      <c r="C162" s="155" t="s">
        <v>493</v>
      </c>
      <c r="D162" s="156"/>
      <c r="E162" s="156"/>
    </row>
    <row r="163" spans="3:7" ht="10.5" customHeight="1">
      <c r="C163" s="153" t="s">
        <v>429</v>
      </c>
      <c r="D163" s="154"/>
      <c r="E163" s="154"/>
      <c r="G163" s="17">
        <v>1</v>
      </c>
    </row>
    <row r="164" spans="1:62" ht="12.75">
      <c r="A164" s="4" t="s">
        <v>60</v>
      </c>
      <c r="B164" s="4" t="s">
        <v>239</v>
      </c>
      <c r="C164" s="151" t="s">
        <v>494</v>
      </c>
      <c r="D164" s="152"/>
      <c r="E164" s="152"/>
      <c r="F164" s="4" t="s">
        <v>748</v>
      </c>
      <c r="G164" s="16">
        <v>1</v>
      </c>
      <c r="H164" s="16">
        <v>0</v>
      </c>
      <c r="I164" s="16">
        <f>G164*AO164</f>
        <v>0</v>
      </c>
      <c r="J164" s="16">
        <f>G164*AP164</f>
        <v>0</v>
      </c>
      <c r="K164" s="16">
        <f>G164*H164</f>
        <v>0</v>
      </c>
      <c r="L164" s="28" t="s">
        <v>775</v>
      </c>
      <c r="Z164" s="33">
        <f>IF(AQ164="5",BJ164,0)</f>
        <v>0</v>
      </c>
      <c r="AB164" s="33">
        <f>IF(AQ164="1",BH164,0)</f>
        <v>0</v>
      </c>
      <c r="AC164" s="33">
        <f>IF(AQ164="1",BI164,0)</f>
        <v>0</v>
      </c>
      <c r="AD164" s="33">
        <f>IF(AQ164="7",BH164,0)</f>
        <v>0</v>
      </c>
      <c r="AE164" s="33">
        <f>IF(AQ164="7",BI164,0)</f>
        <v>0</v>
      </c>
      <c r="AF164" s="33">
        <f>IF(AQ164="2",BH164,0)</f>
        <v>0</v>
      </c>
      <c r="AG164" s="33">
        <f>IF(AQ164="2",BI164,0)</f>
        <v>0</v>
      </c>
      <c r="AH164" s="33">
        <f>IF(AQ164="0",BJ164,0)</f>
        <v>0</v>
      </c>
      <c r="AI164" s="29"/>
      <c r="AJ164" s="16">
        <f>IF(AN164=0,K164,0)</f>
        <v>0</v>
      </c>
      <c r="AK164" s="16">
        <f>IF(AN164=15,K164,0)</f>
        <v>0</v>
      </c>
      <c r="AL164" s="16">
        <f>IF(AN164=21,K164,0)</f>
        <v>0</v>
      </c>
      <c r="AN164" s="33">
        <v>15</v>
      </c>
      <c r="AO164" s="33">
        <f>H164*0</f>
        <v>0</v>
      </c>
      <c r="AP164" s="33">
        <f>H164*(1-0)</f>
        <v>0</v>
      </c>
      <c r="AQ164" s="28" t="s">
        <v>13</v>
      </c>
      <c r="AV164" s="33">
        <f>AW164+AX164</f>
        <v>0</v>
      </c>
      <c r="AW164" s="33">
        <f>G164*AO164</f>
        <v>0</v>
      </c>
      <c r="AX164" s="33">
        <f>G164*AP164</f>
        <v>0</v>
      </c>
      <c r="AY164" s="34" t="s">
        <v>796</v>
      </c>
      <c r="AZ164" s="34" t="s">
        <v>815</v>
      </c>
      <c r="BA164" s="29" t="s">
        <v>820</v>
      </c>
      <c r="BC164" s="33">
        <f>AW164+AX164</f>
        <v>0</v>
      </c>
      <c r="BD164" s="33">
        <f>H164/(100-BE164)*100</f>
        <v>0</v>
      </c>
      <c r="BE164" s="33">
        <v>0</v>
      </c>
      <c r="BF164" s="33">
        <f>164</f>
        <v>164</v>
      </c>
      <c r="BH164" s="16">
        <f>G164*AO164</f>
        <v>0</v>
      </c>
      <c r="BI164" s="16">
        <f>G164*AP164</f>
        <v>0</v>
      </c>
      <c r="BJ164" s="16">
        <f>G164*H164</f>
        <v>0</v>
      </c>
    </row>
    <row r="165" spans="3:5" ht="12.75">
      <c r="C165" s="155" t="s">
        <v>493</v>
      </c>
      <c r="D165" s="156"/>
      <c r="E165" s="156"/>
    </row>
    <row r="166" spans="3:7" ht="10.5" customHeight="1">
      <c r="C166" s="153" t="s">
        <v>429</v>
      </c>
      <c r="D166" s="154"/>
      <c r="E166" s="154"/>
      <c r="G166" s="17">
        <v>1</v>
      </c>
    </row>
    <row r="167" spans="1:62" ht="12.75">
      <c r="A167" s="4" t="s">
        <v>61</v>
      </c>
      <c r="B167" s="4" t="s">
        <v>239</v>
      </c>
      <c r="C167" s="151" t="s">
        <v>495</v>
      </c>
      <c r="D167" s="152"/>
      <c r="E167" s="152"/>
      <c r="F167" s="4" t="s">
        <v>748</v>
      </c>
      <c r="G167" s="16">
        <v>3</v>
      </c>
      <c r="H167" s="16">
        <v>0</v>
      </c>
      <c r="I167" s="16">
        <f>G167*AO167</f>
        <v>0</v>
      </c>
      <c r="J167" s="16">
        <f>G167*AP167</f>
        <v>0</v>
      </c>
      <c r="K167" s="16">
        <f>G167*H167</f>
        <v>0</v>
      </c>
      <c r="L167" s="28" t="s">
        <v>775</v>
      </c>
      <c r="Z167" s="33">
        <f>IF(AQ167="5",BJ167,0)</f>
        <v>0</v>
      </c>
      <c r="AB167" s="33">
        <f>IF(AQ167="1",BH167,0)</f>
        <v>0</v>
      </c>
      <c r="AC167" s="33">
        <f>IF(AQ167="1",BI167,0)</f>
        <v>0</v>
      </c>
      <c r="AD167" s="33">
        <f>IF(AQ167="7",BH167,0)</f>
        <v>0</v>
      </c>
      <c r="AE167" s="33">
        <f>IF(AQ167="7",BI167,0)</f>
        <v>0</v>
      </c>
      <c r="AF167" s="33">
        <f>IF(AQ167="2",BH167,0)</f>
        <v>0</v>
      </c>
      <c r="AG167" s="33">
        <f>IF(AQ167="2",BI167,0)</f>
        <v>0</v>
      </c>
      <c r="AH167" s="33">
        <f>IF(AQ167="0",BJ167,0)</f>
        <v>0</v>
      </c>
      <c r="AI167" s="29"/>
      <c r="AJ167" s="16">
        <f>IF(AN167=0,K167,0)</f>
        <v>0</v>
      </c>
      <c r="AK167" s="16">
        <f>IF(AN167=15,K167,0)</f>
        <v>0</v>
      </c>
      <c r="AL167" s="16">
        <f>IF(AN167=21,K167,0)</f>
        <v>0</v>
      </c>
      <c r="AN167" s="33">
        <v>15</v>
      </c>
      <c r="AO167" s="33">
        <f>H167*0</f>
        <v>0</v>
      </c>
      <c r="AP167" s="33">
        <f>H167*(1-0)</f>
        <v>0</v>
      </c>
      <c r="AQ167" s="28" t="s">
        <v>13</v>
      </c>
      <c r="AV167" s="33">
        <f>AW167+AX167</f>
        <v>0</v>
      </c>
      <c r="AW167" s="33">
        <f>G167*AO167</f>
        <v>0</v>
      </c>
      <c r="AX167" s="33">
        <f>G167*AP167</f>
        <v>0</v>
      </c>
      <c r="AY167" s="34" t="s">
        <v>796</v>
      </c>
      <c r="AZ167" s="34" t="s">
        <v>815</v>
      </c>
      <c r="BA167" s="29" t="s">
        <v>820</v>
      </c>
      <c r="BC167" s="33">
        <f>AW167+AX167</f>
        <v>0</v>
      </c>
      <c r="BD167" s="33">
        <f>H167/(100-BE167)*100</f>
        <v>0</v>
      </c>
      <c r="BE167" s="33">
        <v>0</v>
      </c>
      <c r="BF167" s="33">
        <f>167</f>
        <v>167</v>
      </c>
      <c r="BH167" s="16">
        <f>G167*AO167</f>
        <v>0</v>
      </c>
      <c r="BI167" s="16">
        <f>G167*AP167</f>
        <v>0</v>
      </c>
      <c r="BJ167" s="16">
        <f>G167*H167</f>
        <v>0</v>
      </c>
    </row>
    <row r="168" spans="3:5" ht="12.75">
      <c r="C168" s="155" t="s">
        <v>496</v>
      </c>
      <c r="D168" s="156"/>
      <c r="E168" s="156"/>
    </row>
    <row r="169" spans="3:7" ht="10.5" customHeight="1">
      <c r="C169" s="153" t="s">
        <v>469</v>
      </c>
      <c r="D169" s="154"/>
      <c r="E169" s="154"/>
      <c r="G169" s="17">
        <v>3</v>
      </c>
    </row>
    <row r="170" spans="1:62" ht="12.75">
      <c r="A170" s="4" t="s">
        <v>62</v>
      </c>
      <c r="B170" s="4" t="s">
        <v>239</v>
      </c>
      <c r="C170" s="151" t="s">
        <v>497</v>
      </c>
      <c r="D170" s="152"/>
      <c r="E170" s="152"/>
      <c r="F170" s="4" t="s">
        <v>748</v>
      </c>
      <c r="G170" s="16">
        <v>5</v>
      </c>
      <c r="H170" s="16">
        <v>0</v>
      </c>
      <c r="I170" s="16">
        <f>G170*AO170</f>
        <v>0</v>
      </c>
      <c r="J170" s="16">
        <f>G170*AP170</f>
        <v>0</v>
      </c>
      <c r="K170" s="16">
        <f>G170*H170</f>
        <v>0</v>
      </c>
      <c r="L170" s="28" t="s">
        <v>775</v>
      </c>
      <c r="Z170" s="33">
        <f>IF(AQ170="5",BJ170,0)</f>
        <v>0</v>
      </c>
      <c r="AB170" s="33">
        <f>IF(AQ170="1",BH170,0)</f>
        <v>0</v>
      </c>
      <c r="AC170" s="33">
        <f>IF(AQ170="1",BI170,0)</f>
        <v>0</v>
      </c>
      <c r="AD170" s="33">
        <f>IF(AQ170="7",BH170,0)</f>
        <v>0</v>
      </c>
      <c r="AE170" s="33">
        <f>IF(AQ170="7",BI170,0)</f>
        <v>0</v>
      </c>
      <c r="AF170" s="33">
        <f>IF(AQ170="2",BH170,0)</f>
        <v>0</v>
      </c>
      <c r="AG170" s="33">
        <f>IF(AQ170="2",BI170,0)</f>
        <v>0</v>
      </c>
      <c r="AH170" s="33">
        <f>IF(AQ170="0",BJ170,0)</f>
        <v>0</v>
      </c>
      <c r="AI170" s="29"/>
      <c r="AJ170" s="16">
        <f>IF(AN170=0,K170,0)</f>
        <v>0</v>
      </c>
      <c r="AK170" s="16">
        <f>IF(AN170=15,K170,0)</f>
        <v>0</v>
      </c>
      <c r="AL170" s="16">
        <f>IF(AN170=21,K170,0)</f>
        <v>0</v>
      </c>
      <c r="AN170" s="33">
        <v>15</v>
      </c>
      <c r="AO170" s="33">
        <f>H170*0</f>
        <v>0</v>
      </c>
      <c r="AP170" s="33">
        <f>H170*(1-0)</f>
        <v>0</v>
      </c>
      <c r="AQ170" s="28" t="s">
        <v>13</v>
      </c>
      <c r="AV170" s="33">
        <f>AW170+AX170</f>
        <v>0</v>
      </c>
      <c r="AW170" s="33">
        <f>G170*AO170</f>
        <v>0</v>
      </c>
      <c r="AX170" s="33">
        <f>G170*AP170</f>
        <v>0</v>
      </c>
      <c r="AY170" s="34" t="s">
        <v>796</v>
      </c>
      <c r="AZ170" s="34" t="s">
        <v>815</v>
      </c>
      <c r="BA170" s="29" t="s">
        <v>820</v>
      </c>
      <c r="BC170" s="33">
        <f>AW170+AX170</f>
        <v>0</v>
      </c>
      <c r="BD170" s="33">
        <f>H170/(100-BE170)*100</f>
        <v>0</v>
      </c>
      <c r="BE170" s="33">
        <v>0</v>
      </c>
      <c r="BF170" s="33">
        <f>170</f>
        <v>170</v>
      </c>
      <c r="BH170" s="16">
        <f>G170*AO170</f>
        <v>0</v>
      </c>
      <c r="BI170" s="16">
        <f>G170*AP170</f>
        <v>0</v>
      </c>
      <c r="BJ170" s="16">
        <f>G170*H170</f>
        <v>0</v>
      </c>
    </row>
    <row r="171" spans="3:5" ht="12.75">
      <c r="C171" s="155" t="s">
        <v>498</v>
      </c>
      <c r="D171" s="156"/>
      <c r="E171" s="156"/>
    </row>
    <row r="172" spans="3:7" ht="10.5" customHeight="1">
      <c r="C172" s="153" t="s">
        <v>458</v>
      </c>
      <c r="D172" s="154"/>
      <c r="E172" s="154"/>
      <c r="G172" s="17">
        <v>5</v>
      </c>
    </row>
    <row r="173" spans="1:62" ht="12.75">
      <c r="A173" s="4" t="s">
        <v>63</v>
      </c>
      <c r="B173" s="4" t="s">
        <v>240</v>
      </c>
      <c r="C173" s="151" t="s">
        <v>499</v>
      </c>
      <c r="D173" s="152"/>
      <c r="E173" s="152"/>
      <c r="F173" s="4" t="s">
        <v>748</v>
      </c>
      <c r="G173" s="16">
        <v>1</v>
      </c>
      <c r="H173" s="16">
        <v>0</v>
      </c>
      <c r="I173" s="16">
        <f>G173*AO173</f>
        <v>0</v>
      </c>
      <c r="J173" s="16">
        <f>G173*AP173</f>
        <v>0</v>
      </c>
      <c r="K173" s="16">
        <f>G173*H173</f>
        <v>0</v>
      </c>
      <c r="L173" s="28" t="s">
        <v>775</v>
      </c>
      <c r="Z173" s="33">
        <f>IF(AQ173="5",BJ173,0)</f>
        <v>0</v>
      </c>
      <c r="AB173" s="33">
        <f>IF(AQ173="1",BH173,0)</f>
        <v>0</v>
      </c>
      <c r="AC173" s="33">
        <f>IF(AQ173="1",BI173,0)</f>
        <v>0</v>
      </c>
      <c r="AD173" s="33">
        <f>IF(AQ173="7",BH173,0)</f>
        <v>0</v>
      </c>
      <c r="AE173" s="33">
        <f>IF(AQ173="7",BI173,0)</f>
        <v>0</v>
      </c>
      <c r="AF173" s="33">
        <f>IF(AQ173="2",BH173,0)</f>
        <v>0</v>
      </c>
      <c r="AG173" s="33">
        <f>IF(AQ173="2",BI173,0)</f>
        <v>0</v>
      </c>
      <c r="AH173" s="33">
        <f>IF(AQ173="0",BJ173,0)</f>
        <v>0</v>
      </c>
      <c r="AI173" s="29"/>
      <c r="AJ173" s="16">
        <f>IF(AN173=0,K173,0)</f>
        <v>0</v>
      </c>
      <c r="AK173" s="16">
        <f>IF(AN173=15,K173,0)</f>
        <v>0</v>
      </c>
      <c r="AL173" s="16">
        <f>IF(AN173=21,K173,0)</f>
        <v>0</v>
      </c>
      <c r="AN173" s="33">
        <v>15</v>
      </c>
      <c r="AO173" s="33">
        <f>H173*0</f>
        <v>0</v>
      </c>
      <c r="AP173" s="33">
        <f>H173*(1-0)</f>
        <v>0</v>
      </c>
      <c r="AQ173" s="28" t="s">
        <v>13</v>
      </c>
      <c r="AV173" s="33">
        <f>AW173+AX173</f>
        <v>0</v>
      </c>
      <c r="AW173" s="33">
        <f>G173*AO173</f>
        <v>0</v>
      </c>
      <c r="AX173" s="33">
        <f>G173*AP173</f>
        <v>0</v>
      </c>
      <c r="AY173" s="34" t="s">
        <v>796</v>
      </c>
      <c r="AZ173" s="34" t="s">
        <v>815</v>
      </c>
      <c r="BA173" s="29" t="s">
        <v>820</v>
      </c>
      <c r="BC173" s="33">
        <f>AW173+AX173</f>
        <v>0</v>
      </c>
      <c r="BD173" s="33">
        <f>H173/(100-BE173)*100</f>
        <v>0</v>
      </c>
      <c r="BE173" s="33">
        <v>0</v>
      </c>
      <c r="BF173" s="33">
        <f>173</f>
        <v>173</v>
      </c>
      <c r="BH173" s="16">
        <f>G173*AO173</f>
        <v>0</v>
      </c>
      <c r="BI173" s="16">
        <f>G173*AP173</f>
        <v>0</v>
      </c>
      <c r="BJ173" s="16">
        <f>G173*H173</f>
        <v>0</v>
      </c>
    </row>
    <row r="174" spans="3:7" ht="10.5" customHeight="1">
      <c r="C174" s="153" t="s">
        <v>429</v>
      </c>
      <c r="D174" s="154"/>
      <c r="E174" s="154"/>
      <c r="G174" s="17">
        <v>1</v>
      </c>
    </row>
    <row r="175" spans="1:62" ht="12.75">
      <c r="A175" s="4" t="s">
        <v>64</v>
      </c>
      <c r="B175" s="4" t="s">
        <v>241</v>
      </c>
      <c r="C175" s="151" t="s">
        <v>500</v>
      </c>
      <c r="D175" s="152"/>
      <c r="E175" s="152"/>
      <c r="F175" s="4" t="s">
        <v>748</v>
      </c>
      <c r="G175" s="16">
        <v>3</v>
      </c>
      <c r="H175" s="16">
        <v>0</v>
      </c>
      <c r="I175" s="16">
        <f>G175*AO175</f>
        <v>0</v>
      </c>
      <c r="J175" s="16">
        <f>G175*AP175</f>
        <v>0</v>
      </c>
      <c r="K175" s="16">
        <f>G175*H175</f>
        <v>0</v>
      </c>
      <c r="L175" s="28" t="s">
        <v>775</v>
      </c>
      <c r="Z175" s="33">
        <f>IF(AQ175="5",BJ175,0)</f>
        <v>0</v>
      </c>
      <c r="AB175" s="33">
        <f>IF(AQ175="1",BH175,0)</f>
        <v>0</v>
      </c>
      <c r="AC175" s="33">
        <f>IF(AQ175="1",BI175,0)</f>
        <v>0</v>
      </c>
      <c r="AD175" s="33">
        <f>IF(AQ175="7",BH175,0)</f>
        <v>0</v>
      </c>
      <c r="AE175" s="33">
        <f>IF(AQ175="7",BI175,0)</f>
        <v>0</v>
      </c>
      <c r="AF175" s="33">
        <f>IF(AQ175="2",BH175,0)</f>
        <v>0</v>
      </c>
      <c r="AG175" s="33">
        <f>IF(AQ175="2",BI175,0)</f>
        <v>0</v>
      </c>
      <c r="AH175" s="33">
        <f>IF(AQ175="0",BJ175,0)</f>
        <v>0</v>
      </c>
      <c r="AI175" s="29"/>
      <c r="AJ175" s="16">
        <f>IF(AN175=0,K175,0)</f>
        <v>0</v>
      </c>
      <c r="AK175" s="16">
        <f>IF(AN175=15,K175,0)</f>
        <v>0</v>
      </c>
      <c r="AL175" s="16">
        <f>IF(AN175=21,K175,0)</f>
        <v>0</v>
      </c>
      <c r="AN175" s="33">
        <v>15</v>
      </c>
      <c r="AO175" s="33">
        <f>H175*0</f>
        <v>0</v>
      </c>
      <c r="AP175" s="33">
        <f>H175*(1-0)</f>
        <v>0</v>
      </c>
      <c r="AQ175" s="28" t="s">
        <v>13</v>
      </c>
      <c r="AV175" s="33">
        <f>AW175+AX175</f>
        <v>0</v>
      </c>
      <c r="AW175" s="33">
        <f>G175*AO175</f>
        <v>0</v>
      </c>
      <c r="AX175" s="33">
        <f>G175*AP175</f>
        <v>0</v>
      </c>
      <c r="AY175" s="34" t="s">
        <v>796</v>
      </c>
      <c r="AZ175" s="34" t="s">
        <v>815</v>
      </c>
      <c r="BA175" s="29" t="s">
        <v>820</v>
      </c>
      <c r="BC175" s="33">
        <f>AW175+AX175</f>
        <v>0</v>
      </c>
      <c r="BD175" s="33">
        <f>H175/(100-BE175)*100</f>
        <v>0</v>
      </c>
      <c r="BE175" s="33">
        <v>0</v>
      </c>
      <c r="BF175" s="33">
        <f>175</f>
        <v>175</v>
      </c>
      <c r="BH175" s="16">
        <f>G175*AO175</f>
        <v>0</v>
      </c>
      <c r="BI175" s="16">
        <f>G175*AP175</f>
        <v>0</v>
      </c>
      <c r="BJ175" s="16">
        <f>G175*H175</f>
        <v>0</v>
      </c>
    </row>
    <row r="176" spans="3:7" ht="10.5" customHeight="1">
      <c r="C176" s="153" t="s">
        <v>469</v>
      </c>
      <c r="D176" s="154"/>
      <c r="E176" s="154"/>
      <c r="G176" s="17">
        <v>3</v>
      </c>
    </row>
    <row r="177" spans="1:62" ht="12.75">
      <c r="A177" s="4" t="s">
        <v>65</v>
      </c>
      <c r="B177" s="4" t="s">
        <v>242</v>
      </c>
      <c r="C177" s="151" t="s">
        <v>501</v>
      </c>
      <c r="D177" s="152"/>
      <c r="E177" s="152"/>
      <c r="F177" s="4" t="s">
        <v>748</v>
      </c>
      <c r="G177" s="16">
        <v>2</v>
      </c>
      <c r="H177" s="16">
        <v>0</v>
      </c>
      <c r="I177" s="16">
        <f>G177*AO177</f>
        <v>0</v>
      </c>
      <c r="J177" s="16">
        <f>G177*AP177</f>
        <v>0</v>
      </c>
      <c r="K177" s="16">
        <f>G177*H177</f>
        <v>0</v>
      </c>
      <c r="L177" s="28" t="s">
        <v>775</v>
      </c>
      <c r="Z177" s="33">
        <f>IF(AQ177="5",BJ177,0)</f>
        <v>0</v>
      </c>
      <c r="AB177" s="33">
        <f>IF(AQ177="1",BH177,0)</f>
        <v>0</v>
      </c>
      <c r="AC177" s="33">
        <f>IF(AQ177="1",BI177,0)</f>
        <v>0</v>
      </c>
      <c r="AD177" s="33">
        <f>IF(AQ177="7",BH177,0)</f>
        <v>0</v>
      </c>
      <c r="AE177" s="33">
        <f>IF(AQ177="7",BI177,0)</f>
        <v>0</v>
      </c>
      <c r="AF177" s="33">
        <f>IF(AQ177="2",BH177,0)</f>
        <v>0</v>
      </c>
      <c r="AG177" s="33">
        <f>IF(AQ177="2",BI177,0)</f>
        <v>0</v>
      </c>
      <c r="AH177" s="33">
        <f>IF(AQ177="0",BJ177,0)</f>
        <v>0</v>
      </c>
      <c r="AI177" s="29"/>
      <c r="AJ177" s="16">
        <f>IF(AN177=0,K177,0)</f>
        <v>0</v>
      </c>
      <c r="AK177" s="16">
        <f>IF(AN177=15,K177,0)</f>
        <v>0</v>
      </c>
      <c r="AL177" s="16">
        <f>IF(AN177=21,K177,0)</f>
        <v>0</v>
      </c>
      <c r="AN177" s="33">
        <v>15</v>
      </c>
      <c r="AO177" s="33">
        <f>H177*0</f>
        <v>0</v>
      </c>
      <c r="AP177" s="33">
        <f>H177*(1-0)</f>
        <v>0</v>
      </c>
      <c r="AQ177" s="28" t="s">
        <v>13</v>
      </c>
      <c r="AV177" s="33">
        <f>AW177+AX177</f>
        <v>0</v>
      </c>
      <c r="AW177" s="33">
        <f>G177*AO177</f>
        <v>0</v>
      </c>
      <c r="AX177" s="33">
        <f>G177*AP177</f>
        <v>0</v>
      </c>
      <c r="AY177" s="34" t="s">
        <v>796</v>
      </c>
      <c r="AZ177" s="34" t="s">
        <v>815</v>
      </c>
      <c r="BA177" s="29" t="s">
        <v>820</v>
      </c>
      <c r="BC177" s="33">
        <f>AW177+AX177</f>
        <v>0</v>
      </c>
      <c r="BD177" s="33">
        <f>H177/(100-BE177)*100</f>
        <v>0</v>
      </c>
      <c r="BE177" s="33">
        <v>0</v>
      </c>
      <c r="BF177" s="33">
        <f>177</f>
        <v>177</v>
      </c>
      <c r="BH177" s="16">
        <f>G177*AO177</f>
        <v>0</v>
      </c>
      <c r="BI177" s="16">
        <f>G177*AP177</f>
        <v>0</v>
      </c>
      <c r="BJ177" s="16">
        <f>G177*H177</f>
        <v>0</v>
      </c>
    </row>
    <row r="178" spans="3:7" ht="10.5" customHeight="1">
      <c r="C178" s="153" t="s">
        <v>382</v>
      </c>
      <c r="D178" s="154"/>
      <c r="E178" s="154"/>
      <c r="G178" s="17">
        <v>2</v>
      </c>
    </row>
    <row r="179" spans="1:62" ht="12.75">
      <c r="A179" s="6" t="s">
        <v>66</v>
      </c>
      <c r="B179" s="6" t="s">
        <v>243</v>
      </c>
      <c r="C179" s="165" t="s">
        <v>502</v>
      </c>
      <c r="D179" s="166"/>
      <c r="E179" s="166"/>
      <c r="F179" s="6" t="s">
        <v>748</v>
      </c>
      <c r="G179" s="18">
        <v>2</v>
      </c>
      <c r="H179" s="18">
        <v>0</v>
      </c>
      <c r="I179" s="18">
        <f>G179*AO179</f>
        <v>0</v>
      </c>
      <c r="J179" s="18">
        <f>G179*AP179</f>
        <v>0</v>
      </c>
      <c r="K179" s="18">
        <f>G179*H179</f>
        <v>0</v>
      </c>
      <c r="L179" s="30" t="s">
        <v>775</v>
      </c>
      <c r="Z179" s="33">
        <f>IF(AQ179="5",BJ179,0)</f>
        <v>0</v>
      </c>
      <c r="AB179" s="33">
        <f>IF(AQ179="1",BH179,0)</f>
        <v>0</v>
      </c>
      <c r="AC179" s="33">
        <f>IF(AQ179="1",BI179,0)</f>
        <v>0</v>
      </c>
      <c r="AD179" s="33">
        <f>IF(AQ179="7",BH179,0)</f>
        <v>0</v>
      </c>
      <c r="AE179" s="33">
        <f>IF(AQ179="7",BI179,0)</f>
        <v>0</v>
      </c>
      <c r="AF179" s="33">
        <f>IF(AQ179="2",BH179,0)</f>
        <v>0</v>
      </c>
      <c r="AG179" s="33">
        <f>IF(AQ179="2",BI179,0)</f>
        <v>0</v>
      </c>
      <c r="AH179" s="33">
        <f>IF(AQ179="0",BJ179,0)</f>
        <v>0</v>
      </c>
      <c r="AI179" s="29"/>
      <c r="AJ179" s="18">
        <f>IF(AN179=0,K179,0)</f>
        <v>0</v>
      </c>
      <c r="AK179" s="18">
        <f>IF(AN179=15,K179,0)</f>
        <v>0</v>
      </c>
      <c r="AL179" s="18">
        <f>IF(AN179=21,K179,0)</f>
        <v>0</v>
      </c>
      <c r="AN179" s="33">
        <v>15</v>
      </c>
      <c r="AO179" s="33">
        <f>H179*1</f>
        <v>0</v>
      </c>
      <c r="AP179" s="33">
        <f>H179*(1-1)</f>
        <v>0</v>
      </c>
      <c r="AQ179" s="30" t="s">
        <v>13</v>
      </c>
      <c r="AV179" s="33">
        <f>AW179+AX179</f>
        <v>0</v>
      </c>
      <c r="AW179" s="33">
        <f>G179*AO179</f>
        <v>0</v>
      </c>
      <c r="AX179" s="33">
        <f>G179*AP179</f>
        <v>0</v>
      </c>
      <c r="AY179" s="34" t="s">
        <v>796</v>
      </c>
      <c r="AZ179" s="34" t="s">
        <v>815</v>
      </c>
      <c r="BA179" s="29" t="s">
        <v>820</v>
      </c>
      <c r="BC179" s="33">
        <f>AW179+AX179</f>
        <v>0</v>
      </c>
      <c r="BD179" s="33">
        <f>H179/(100-BE179)*100</f>
        <v>0</v>
      </c>
      <c r="BE179" s="33">
        <v>0</v>
      </c>
      <c r="BF179" s="33">
        <f>179</f>
        <v>179</v>
      </c>
      <c r="BH179" s="18">
        <f>G179*AO179</f>
        <v>0</v>
      </c>
      <c r="BI179" s="18">
        <f>G179*AP179</f>
        <v>0</v>
      </c>
      <c r="BJ179" s="18">
        <f>G179*H179</f>
        <v>0</v>
      </c>
    </row>
    <row r="180" spans="3:7" ht="10.5" customHeight="1">
      <c r="C180" s="153" t="s">
        <v>382</v>
      </c>
      <c r="D180" s="154"/>
      <c r="E180" s="154"/>
      <c r="G180" s="17">
        <v>2</v>
      </c>
    </row>
    <row r="181" spans="1:47" ht="12.75">
      <c r="A181" s="5"/>
      <c r="B181" s="13" t="s">
        <v>244</v>
      </c>
      <c r="C181" s="157" t="s">
        <v>503</v>
      </c>
      <c r="D181" s="158"/>
      <c r="E181" s="158"/>
      <c r="F181" s="5" t="s">
        <v>6</v>
      </c>
      <c r="G181" s="5" t="s">
        <v>6</v>
      </c>
      <c r="H181" s="5" t="s">
        <v>6</v>
      </c>
      <c r="I181" s="36">
        <f>SUM(I182:I184)</f>
        <v>0</v>
      </c>
      <c r="J181" s="36">
        <f>SUM(J182:J184)</f>
        <v>0</v>
      </c>
      <c r="K181" s="36">
        <f>SUM(K182:K184)</f>
        <v>0</v>
      </c>
      <c r="L181" s="29"/>
      <c r="AI181" s="29"/>
      <c r="AS181" s="36">
        <f>SUM(AJ182:AJ184)</f>
        <v>0</v>
      </c>
      <c r="AT181" s="36">
        <f>SUM(AK182:AK184)</f>
        <v>0</v>
      </c>
      <c r="AU181" s="36">
        <f>SUM(AL182:AL184)</f>
        <v>0</v>
      </c>
    </row>
    <row r="182" spans="1:62" ht="12.75">
      <c r="A182" s="4" t="s">
        <v>67</v>
      </c>
      <c r="B182" s="4" t="s">
        <v>245</v>
      </c>
      <c r="C182" s="151" t="s">
        <v>504</v>
      </c>
      <c r="D182" s="152"/>
      <c r="E182" s="152"/>
      <c r="F182" s="4" t="s">
        <v>748</v>
      </c>
      <c r="G182" s="16">
        <v>5</v>
      </c>
      <c r="H182" s="16">
        <v>0</v>
      </c>
      <c r="I182" s="16">
        <f>G182*AO182</f>
        <v>0</v>
      </c>
      <c r="J182" s="16">
        <f>G182*AP182</f>
        <v>0</v>
      </c>
      <c r="K182" s="16">
        <f>G182*H182</f>
        <v>0</v>
      </c>
      <c r="L182" s="28" t="s">
        <v>775</v>
      </c>
      <c r="Z182" s="33">
        <f>IF(AQ182="5",BJ182,0)</f>
        <v>0</v>
      </c>
      <c r="AB182" s="33">
        <f>IF(AQ182="1",BH182,0)</f>
        <v>0</v>
      </c>
      <c r="AC182" s="33">
        <f>IF(AQ182="1",BI182,0)</f>
        <v>0</v>
      </c>
      <c r="AD182" s="33">
        <f>IF(AQ182="7",BH182,0)</f>
        <v>0</v>
      </c>
      <c r="AE182" s="33">
        <f>IF(AQ182="7",BI182,0)</f>
        <v>0</v>
      </c>
      <c r="AF182" s="33">
        <f>IF(AQ182="2",BH182,0)</f>
        <v>0</v>
      </c>
      <c r="AG182" s="33">
        <f>IF(AQ182="2",BI182,0)</f>
        <v>0</v>
      </c>
      <c r="AH182" s="33">
        <f>IF(AQ182="0",BJ182,0)</f>
        <v>0</v>
      </c>
      <c r="AI182" s="29"/>
      <c r="AJ182" s="16">
        <f>IF(AN182=0,K182,0)</f>
        <v>0</v>
      </c>
      <c r="AK182" s="16">
        <f>IF(AN182=15,K182,0)</f>
        <v>0</v>
      </c>
      <c r="AL182" s="16">
        <f>IF(AN182=21,K182,0)</f>
        <v>0</v>
      </c>
      <c r="AN182" s="33">
        <v>15</v>
      </c>
      <c r="AO182" s="33">
        <f>H182*0.0399013157894737</f>
        <v>0</v>
      </c>
      <c r="AP182" s="33">
        <f>H182*(1-0.0399013157894737)</f>
        <v>0</v>
      </c>
      <c r="AQ182" s="28" t="s">
        <v>13</v>
      </c>
      <c r="AV182" s="33">
        <f>AW182+AX182</f>
        <v>0</v>
      </c>
      <c r="AW182" s="33">
        <f>G182*AO182</f>
        <v>0</v>
      </c>
      <c r="AX182" s="33">
        <f>G182*AP182</f>
        <v>0</v>
      </c>
      <c r="AY182" s="34" t="s">
        <v>797</v>
      </c>
      <c r="AZ182" s="34" t="s">
        <v>815</v>
      </c>
      <c r="BA182" s="29" t="s">
        <v>820</v>
      </c>
      <c r="BC182" s="33">
        <f>AW182+AX182</f>
        <v>0</v>
      </c>
      <c r="BD182" s="33">
        <f>H182/(100-BE182)*100</f>
        <v>0</v>
      </c>
      <c r="BE182" s="33">
        <v>0</v>
      </c>
      <c r="BF182" s="33">
        <f>182</f>
        <v>182</v>
      </c>
      <c r="BH182" s="16">
        <f>G182*AO182</f>
        <v>0</v>
      </c>
      <c r="BI182" s="16">
        <f>G182*AP182</f>
        <v>0</v>
      </c>
      <c r="BJ182" s="16">
        <f>G182*H182</f>
        <v>0</v>
      </c>
    </row>
    <row r="183" spans="1:62" ht="12.75">
      <c r="A183" s="4" t="s">
        <v>68</v>
      </c>
      <c r="B183" s="4" t="s">
        <v>246</v>
      </c>
      <c r="C183" s="151" t="s">
        <v>505</v>
      </c>
      <c r="D183" s="152"/>
      <c r="E183" s="152"/>
      <c r="F183" s="4" t="s">
        <v>748</v>
      </c>
      <c r="G183" s="16">
        <v>5</v>
      </c>
      <c r="H183" s="16">
        <v>0</v>
      </c>
      <c r="I183" s="16">
        <f>G183*AO183</f>
        <v>0</v>
      </c>
      <c r="J183" s="16">
        <f>G183*AP183</f>
        <v>0</v>
      </c>
      <c r="K183" s="16">
        <f>G183*H183</f>
        <v>0</v>
      </c>
      <c r="L183" s="28" t="s">
        <v>775</v>
      </c>
      <c r="Z183" s="33">
        <f>IF(AQ183="5",BJ183,0)</f>
        <v>0</v>
      </c>
      <c r="AB183" s="33">
        <f>IF(AQ183="1",BH183,0)</f>
        <v>0</v>
      </c>
      <c r="AC183" s="33">
        <f>IF(AQ183="1",BI183,0)</f>
        <v>0</v>
      </c>
      <c r="AD183" s="33">
        <f>IF(AQ183="7",BH183,0)</f>
        <v>0</v>
      </c>
      <c r="AE183" s="33">
        <f>IF(AQ183="7",BI183,0)</f>
        <v>0</v>
      </c>
      <c r="AF183" s="33">
        <f>IF(AQ183="2",BH183,0)</f>
        <v>0</v>
      </c>
      <c r="AG183" s="33">
        <f>IF(AQ183="2",BI183,0)</f>
        <v>0</v>
      </c>
      <c r="AH183" s="33">
        <f>IF(AQ183="0",BJ183,0)</f>
        <v>0</v>
      </c>
      <c r="AI183" s="29"/>
      <c r="AJ183" s="16">
        <f>IF(AN183=0,K183,0)</f>
        <v>0</v>
      </c>
      <c r="AK183" s="16">
        <f>IF(AN183=15,K183,0)</f>
        <v>0</v>
      </c>
      <c r="AL183" s="16">
        <f>IF(AN183=21,K183,0)</f>
        <v>0</v>
      </c>
      <c r="AN183" s="33">
        <v>15</v>
      </c>
      <c r="AO183" s="33">
        <f>H183*0.039904</f>
        <v>0</v>
      </c>
      <c r="AP183" s="33">
        <f>H183*(1-0.039904)</f>
        <v>0</v>
      </c>
      <c r="AQ183" s="28" t="s">
        <v>13</v>
      </c>
      <c r="AV183" s="33">
        <f>AW183+AX183</f>
        <v>0</v>
      </c>
      <c r="AW183" s="33">
        <f>G183*AO183</f>
        <v>0</v>
      </c>
      <c r="AX183" s="33">
        <f>G183*AP183</f>
        <v>0</v>
      </c>
      <c r="AY183" s="34" t="s">
        <v>797</v>
      </c>
      <c r="AZ183" s="34" t="s">
        <v>815</v>
      </c>
      <c r="BA183" s="29" t="s">
        <v>820</v>
      </c>
      <c r="BC183" s="33">
        <f>AW183+AX183</f>
        <v>0</v>
      </c>
      <c r="BD183" s="33">
        <f>H183/(100-BE183)*100</f>
        <v>0</v>
      </c>
      <c r="BE183" s="33">
        <v>0</v>
      </c>
      <c r="BF183" s="33">
        <f>183</f>
        <v>183</v>
      </c>
      <c r="BH183" s="16">
        <f>G183*AO183</f>
        <v>0</v>
      </c>
      <c r="BI183" s="16">
        <f>G183*AP183</f>
        <v>0</v>
      </c>
      <c r="BJ183" s="16">
        <f>G183*H183</f>
        <v>0</v>
      </c>
    </row>
    <row r="184" spans="1:62" ht="12.75">
      <c r="A184" s="4" t="s">
        <v>69</v>
      </c>
      <c r="B184" s="4" t="s">
        <v>247</v>
      </c>
      <c r="C184" s="151" t="s">
        <v>506</v>
      </c>
      <c r="D184" s="152"/>
      <c r="E184" s="152"/>
      <c r="F184" s="4" t="s">
        <v>748</v>
      </c>
      <c r="G184" s="16">
        <v>5</v>
      </c>
      <c r="H184" s="16">
        <v>0</v>
      </c>
      <c r="I184" s="16">
        <f>G184*AO184</f>
        <v>0</v>
      </c>
      <c r="J184" s="16">
        <f>G184*AP184</f>
        <v>0</v>
      </c>
      <c r="K184" s="16">
        <f>G184*H184</f>
        <v>0</v>
      </c>
      <c r="L184" s="28" t="s">
        <v>775</v>
      </c>
      <c r="Z184" s="33">
        <f>IF(AQ184="5",BJ184,0)</f>
        <v>0</v>
      </c>
      <c r="AB184" s="33">
        <f>IF(AQ184="1",BH184,0)</f>
        <v>0</v>
      </c>
      <c r="AC184" s="33">
        <f>IF(AQ184="1",BI184,0)</f>
        <v>0</v>
      </c>
      <c r="AD184" s="33">
        <f>IF(AQ184="7",BH184,0)</f>
        <v>0</v>
      </c>
      <c r="AE184" s="33">
        <f>IF(AQ184="7",BI184,0)</f>
        <v>0</v>
      </c>
      <c r="AF184" s="33">
        <f>IF(AQ184="2",BH184,0)</f>
        <v>0</v>
      </c>
      <c r="AG184" s="33">
        <f>IF(AQ184="2",BI184,0)</f>
        <v>0</v>
      </c>
      <c r="AH184" s="33">
        <f>IF(AQ184="0",BJ184,0)</f>
        <v>0</v>
      </c>
      <c r="AI184" s="29"/>
      <c r="AJ184" s="16">
        <f>IF(AN184=0,K184,0)</f>
        <v>0</v>
      </c>
      <c r="AK184" s="16">
        <f>IF(AN184=15,K184,0)</f>
        <v>0</v>
      </c>
      <c r="AL184" s="16">
        <f>IF(AN184=21,K184,0)</f>
        <v>0</v>
      </c>
      <c r="AN184" s="33">
        <v>15</v>
      </c>
      <c r="AO184" s="33">
        <f>H184*0.03990625</f>
        <v>0</v>
      </c>
      <c r="AP184" s="33">
        <f>H184*(1-0.03990625)</f>
        <v>0</v>
      </c>
      <c r="AQ184" s="28" t="s">
        <v>13</v>
      </c>
      <c r="AV184" s="33">
        <f>AW184+AX184</f>
        <v>0</v>
      </c>
      <c r="AW184" s="33">
        <f>G184*AO184</f>
        <v>0</v>
      </c>
      <c r="AX184" s="33">
        <f>G184*AP184</f>
        <v>0</v>
      </c>
      <c r="AY184" s="34" t="s">
        <v>797</v>
      </c>
      <c r="AZ184" s="34" t="s">
        <v>815</v>
      </c>
      <c r="BA184" s="29" t="s">
        <v>820</v>
      </c>
      <c r="BC184" s="33">
        <f>AW184+AX184</f>
        <v>0</v>
      </c>
      <c r="BD184" s="33">
        <f>H184/(100-BE184)*100</f>
        <v>0</v>
      </c>
      <c r="BE184" s="33">
        <v>0</v>
      </c>
      <c r="BF184" s="33">
        <f>184</f>
        <v>184</v>
      </c>
      <c r="BH184" s="16">
        <f>G184*AO184</f>
        <v>0</v>
      </c>
      <c r="BI184" s="16">
        <f>G184*AP184</f>
        <v>0</v>
      </c>
      <c r="BJ184" s="16">
        <f>G184*H184</f>
        <v>0</v>
      </c>
    </row>
    <row r="185" spans="3:7" ht="10.5" customHeight="1">
      <c r="C185" s="153" t="s">
        <v>458</v>
      </c>
      <c r="D185" s="154"/>
      <c r="E185" s="154"/>
      <c r="G185" s="17">
        <v>5</v>
      </c>
    </row>
    <row r="186" spans="1:47" ht="12.75">
      <c r="A186" s="5"/>
      <c r="B186" s="13" t="s">
        <v>248</v>
      </c>
      <c r="C186" s="157" t="s">
        <v>507</v>
      </c>
      <c r="D186" s="158"/>
      <c r="E186" s="158"/>
      <c r="F186" s="5" t="s">
        <v>6</v>
      </c>
      <c r="G186" s="5" t="s">
        <v>6</v>
      </c>
      <c r="H186" s="5" t="s">
        <v>6</v>
      </c>
      <c r="I186" s="36">
        <f>SUM(I187:I212)</f>
        <v>0</v>
      </c>
      <c r="J186" s="36">
        <f>SUM(J187:J212)</f>
        <v>0</v>
      </c>
      <c r="K186" s="36">
        <f>SUM(K187:K212)</f>
        <v>0</v>
      </c>
      <c r="L186" s="29"/>
      <c r="AI186" s="29"/>
      <c r="AS186" s="36">
        <f>SUM(AJ187:AJ212)</f>
        <v>0</v>
      </c>
      <c r="AT186" s="36">
        <f>SUM(AK187:AK212)</f>
        <v>0</v>
      </c>
      <c r="AU186" s="36">
        <f>SUM(AL187:AL212)</f>
        <v>0</v>
      </c>
    </row>
    <row r="187" spans="1:62" ht="12.75">
      <c r="A187" s="4" t="s">
        <v>70</v>
      </c>
      <c r="B187" s="4" t="s">
        <v>249</v>
      </c>
      <c r="C187" s="151" t="s">
        <v>508</v>
      </c>
      <c r="D187" s="152"/>
      <c r="E187" s="152"/>
      <c r="F187" s="4" t="s">
        <v>747</v>
      </c>
      <c r="G187" s="16">
        <v>5.55</v>
      </c>
      <c r="H187" s="16">
        <v>0</v>
      </c>
      <c r="I187" s="16">
        <f>G187*AO187</f>
        <v>0</v>
      </c>
      <c r="J187" s="16">
        <f>G187*AP187</f>
        <v>0</v>
      </c>
      <c r="K187" s="16">
        <f>G187*H187</f>
        <v>0</v>
      </c>
      <c r="L187" s="28" t="s">
        <v>775</v>
      </c>
      <c r="Z187" s="33">
        <f>IF(AQ187="5",BJ187,0)</f>
        <v>0</v>
      </c>
      <c r="AB187" s="33">
        <f>IF(AQ187="1",BH187,0)</f>
        <v>0</v>
      </c>
      <c r="AC187" s="33">
        <f>IF(AQ187="1",BI187,0)</f>
        <v>0</v>
      </c>
      <c r="AD187" s="33">
        <f>IF(AQ187="7",BH187,0)</f>
        <v>0</v>
      </c>
      <c r="AE187" s="33">
        <f>IF(AQ187="7",BI187,0)</f>
        <v>0</v>
      </c>
      <c r="AF187" s="33">
        <f>IF(AQ187="2",BH187,0)</f>
        <v>0</v>
      </c>
      <c r="AG187" s="33">
        <f>IF(AQ187="2",BI187,0)</f>
        <v>0</v>
      </c>
      <c r="AH187" s="33">
        <f>IF(AQ187="0",BJ187,0)</f>
        <v>0</v>
      </c>
      <c r="AI187" s="29"/>
      <c r="AJ187" s="16">
        <f>IF(AN187=0,K187,0)</f>
        <v>0</v>
      </c>
      <c r="AK187" s="16">
        <f>IF(AN187=15,K187,0)</f>
        <v>0</v>
      </c>
      <c r="AL187" s="16">
        <f>IF(AN187=21,K187,0)</f>
        <v>0</v>
      </c>
      <c r="AN187" s="33">
        <v>15</v>
      </c>
      <c r="AO187" s="33">
        <f>H187*0</f>
        <v>0</v>
      </c>
      <c r="AP187" s="33">
        <f>H187*(1-0)</f>
        <v>0</v>
      </c>
      <c r="AQ187" s="28" t="s">
        <v>13</v>
      </c>
      <c r="AV187" s="33">
        <f>AW187+AX187</f>
        <v>0</v>
      </c>
      <c r="AW187" s="33">
        <f>G187*AO187</f>
        <v>0</v>
      </c>
      <c r="AX187" s="33">
        <f>G187*AP187</f>
        <v>0</v>
      </c>
      <c r="AY187" s="34" t="s">
        <v>798</v>
      </c>
      <c r="AZ187" s="34" t="s">
        <v>816</v>
      </c>
      <c r="BA187" s="29" t="s">
        <v>820</v>
      </c>
      <c r="BC187" s="33">
        <f>AW187+AX187</f>
        <v>0</v>
      </c>
      <c r="BD187" s="33">
        <f>H187/(100-BE187)*100</f>
        <v>0</v>
      </c>
      <c r="BE187" s="33">
        <v>0</v>
      </c>
      <c r="BF187" s="33">
        <f>187</f>
        <v>187</v>
      </c>
      <c r="BH187" s="16">
        <f>G187*AO187</f>
        <v>0</v>
      </c>
      <c r="BI187" s="16">
        <f>G187*AP187</f>
        <v>0</v>
      </c>
      <c r="BJ187" s="16">
        <f>G187*H187</f>
        <v>0</v>
      </c>
    </row>
    <row r="188" spans="3:7" ht="10.5" customHeight="1">
      <c r="C188" s="153" t="s">
        <v>392</v>
      </c>
      <c r="D188" s="154"/>
      <c r="E188" s="154"/>
      <c r="G188" s="17">
        <v>5.55</v>
      </c>
    </row>
    <row r="189" spans="1:62" ht="12.75">
      <c r="A189" s="4" t="s">
        <v>71</v>
      </c>
      <c r="B189" s="4" t="s">
        <v>250</v>
      </c>
      <c r="C189" s="151" t="s">
        <v>509</v>
      </c>
      <c r="D189" s="152"/>
      <c r="E189" s="152"/>
      <c r="F189" s="4" t="s">
        <v>747</v>
      </c>
      <c r="G189" s="16">
        <v>7.05</v>
      </c>
      <c r="H189" s="16">
        <v>0</v>
      </c>
      <c r="I189" s="16">
        <f>G189*AO189</f>
        <v>0</v>
      </c>
      <c r="J189" s="16">
        <f>G189*AP189</f>
        <v>0</v>
      </c>
      <c r="K189" s="16">
        <f>G189*H189</f>
        <v>0</v>
      </c>
      <c r="L189" s="28" t="s">
        <v>775</v>
      </c>
      <c r="Z189" s="33">
        <f>IF(AQ189="5",BJ189,0)</f>
        <v>0</v>
      </c>
      <c r="AB189" s="33">
        <f>IF(AQ189="1",BH189,0)</f>
        <v>0</v>
      </c>
      <c r="AC189" s="33">
        <f>IF(AQ189="1",BI189,0)</f>
        <v>0</v>
      </c>
      <c r="AD189" s="33">
        <f>IF(AQ189="7",BH189,0)</f>
        <v>0</v>
      </c>
      <c r="AE189" s="33">
        <f>IF(AQ189="7",BI189,0)</f>
        <v>0</v>
      </c>
      <c r="AF189" s="33">
        <f>IF(AQ189="2",BH189,0)</f>
        <v>0</v>
      </c>
      <c r="AG189" s="33">
        <f>IF(AQ189="2",BI189,0)</f>
        <v>0</v>
      </c>
      <c r="AH189" s="33">
        <f>IF(AQ189="0",BJ189,0)</f>
        <v>0</v>
      </c>
      <c r="AI189" s="29"/>
      <c r="AJ189" s="16">
        <f>IF(AN189=0,K189,0)</f>
        <v>0</v>
      </c>
      <c r="AK189" s="16">
        <f>IF(AN189=15,K189,0)</f>
        <v>0</v>
      </c>
      <c r="AL189" s="16">
        <f>IF(AN189=21,K189,0)</f>
        <v>0</v>
      </c>
      <c r="AN189" s="33">
        <v>15</v>
      </c>
      <c r="AO189" s="33">
        <f>H189*0</f>
        <v>0</v>
      </c>
      <c r="AP189" s="33">
        <f>H189*(1-0)</f>
        <v>0</v>
      </c>
      <c r="AQ189" s="28" t="s">
        <v>13</v>
      </c>
      <c r="AV189" s="33">
        <f>AW189+AX189</f>
        <v>0</v>
      </c>
      <c r="AW189" s="33">
        <f>G189*AO189</f>
        <v>0</v>
      </c>
      <c r="AX189" s="33">
        <f>G189*AP189</f>
        <v>0</v>
      </c>
      <c r="AY189" s="34" t="s">
        <v>798</v>
      </c>
      <c r="AZ189" s="34" t="s">
        <v>816</v>
      </c>
      <c r="BA189" s="29" t="s">
        <v>820</v>
      </c>
      <c r="BC189" s="33">
        <f>AW189+AX189</f>
        <v>0</v>
      </c>
      <c r="BD189" s="33">
        <f>H189/(100-BE189)*100</f>
        <v>0</v>
      </c>
      <c r="BE189" s="33">
        <v>0</v>
      </c>
      <c r="BF189" s="33">
        <f>189</f>
        <v>189</v>
      </c>
      <c r="BH189" s="16">
        <f>G189*AO189</f>
        <v>0</v>
      </c>
      <c r="BI189" s="16">
        <f>G189*AP189</f>
        <v>0</v>
      </c>
      <c r="BJ189" s="16">
        <f>G189*H189</f>
        <v>0</v>
      </c>
    </row>
    <row r="190" spans="3:7" ht="10.5" customHeight="1">
      <c r="C190" s="153" t="s">
        <v>510</v>
      </c>
      <c r="D190" s="154"/>
      <c r="E190" s="154"/>
      <c r="G190" s="17">
        <v>5.55</v>
      </c>
    </row>
    <row r="191" spans="3:7" ht="10.5" customHeight="1">
      <c r="C191" s="153" t="s">
        <v>511</v>
      </c>
      <c r="D191" s="154"/>
      <c r="E191" s="154"/>
      <c r="G191" s="17">
        <v>1.5</v>
      </c>
    </row>
    <row r="192" spans="1:62" ht="12.75">
      <c r="A192" s="4" t="s">
        <v>72</v>
      </c>
      <c r="B192" s="4" t="s">
        <v>251</v>
      </c>
      <c r="C192" s="151" t="s">
        <v>512</v>
      </c>
      <c r="D192" s="152"/>
      <c r="E192" s="152"/>
      <c r="F192" s="4" t="s">
        <v>747</v>
      </c>
      <c r="G192" s="16">
        <v>7.05</v>
      </c>
      <c r="H192" s="16">
        <v>0</v>
      </c>
      <c r="I192" s="16">
        <f>G192*AO192</f>
        <v>0</v>
      </c>
      <c r="J192" s="16">
        <f>G192*AP192</f>
        <v>0</v>
      </c>
      <c r="K192" s="16">
        <f>G192*H192</f>
        <v>0</v>
      </c>
      <c r="L192" s="28" t="s">
        <v>775</v>
      </c>
      <c r="Z192" s="33">
        <f>IF(AQ192="5",BJ192,0)</f>
        <v>0</v>
      </c>
      <c r="AB192" s="33">
        <f>IF(AQ192="1",BH192,0)</f>
        <v>0</v>
      </c>
      <c r="AC192" s="33">
        <f>IF(AQ192="1",BI192,0)</f>
        <v>0</v>
      </c>
      <c r="AD192" s="33">
        <f>IF(AQ192="7",BH192,0)</f>
        <v>0</v>
      </c>
      <c r="AE192" s="33">
        <f>IF(AQ192="7",BI192,0)</f>
        <v>0</v>
      </c>
      <c r="AF192" s="33">
        <f>IF(AQ192="2",BH192,0)</f>
        <v>0</v>
      </c>
      <c r="AG192" s="33">
        <f>IF(AQ192="2",BI192,0)</f>
        <v>0</v>
      </c>
      <c r="AH192" s="33">
        <f>IF(AQ192="0",BJ192,0)</f>
        <v>0</v>
      </c>
      <c r="AI192" s="29"/>
      <c r="AJ192" s="16">
        <f>IF(AN192=0,K192,0)</f>
        <v>0</v>
      </c>
      <c r="AK192" s="16">
        <f>IF(AN192=15,K192,0)</f>
        <v>0</v>
      </c>
      <c r="AL192" s="16">
        <f>IF(AN192=21,K192,0)</f>
        <v>0</v>
      </c>
      <c r="AN192" s="33">
        <v>15</v>
      </c>
      <c r="AO192" s="33">
        <f>H192*0.466659549156575</f>
        <v>0</v>
      </c>
      <c r="AP192" s="33">
        <f>H192*(1-0.466659549156575)</f>
        <v>0</v>
      </c>
      <c r="AQ192" s="28" t="s">
        <v>13</v>
      </c>
      <c r="AV192" s="33">
        <f>AW192+AX192</f>
        <v>0</v>
      </c>
      <c r="AW192" s="33">
        <f>G192*AO192</f>
        <v>0</v>
      </c>
      <c r="AX192" s="33">
        <f>G192*AP192</f>
        <v>0</v>
      </c>
      <c r="AY192" s="34" t="s">
        <v>798</v>
      </c>
      <c r="AZ192" s="34" t="s">
        <v>816</v>
      </c>
      <c r="BA192" s="29" t="s">
        <v>820</v>
      </c>
      <c r="BC192" s="33">
        <f>AW192+AX192</f>
        <v>0</v>
      </c>
      <c r="BD192" s="33">
        <f>H192/(100-BE192)*100</f>
        <v>0</v>
      </c>
      <c r="BE192" s="33">
        <v>0</v>
      </c>
      <c r="BF192" s="33">
        <f>192</f>
        <v>192</v>
      </c>
      <c r="BH192" s="16">
        <f>G192*AO192</f>
        <v>0</v>
      </c>
      <c r="BI192" s="16">
        <f>G192*AP192</f>
        <v>0</v>
      </c>
      <c r="BJ192" s="16">
        <f>G192*H192</f>
        <v>0</v>
      </c>
    </row>
    <row r="193" spans="3:7" ht="10.5" customHeight="1">
      <c r="C193" s="153" t="s">
        <v>392</v>
      </c>
      <c r="D193" s="154"/>
      <c r="E193" s="154"/>
      <c r="G193" s="17">
        <v>5.55</v>
      </c>
    </row>
    <row r="194" spans="3:7" ht="10.5" customHeight="1">
      <c r="C194" s="153" t="s">
        <v>513</v>
      </c>
      <c r="D194" s="154"/>
      <c r="E194" s="154"/>
      <c r="G194" s="17">
        <v>1.5</v>
      </c>
    </row>
    <row r="195" spans="1:62" ht="12.75">
      <c r="A195" s="4" t="s">
        <v>73</v>
      </c>
      <c r="B195" s="4" t="s">
        <v>252</v>
      </c>
      <c r="C195" s="151" t="s">
        <v>514</v>
      </c>
      <c r="D195" s="152"/>
      <c r="E195" s="152"/>
      <c r="F195" s="4" t="s">
        <v>747</v>
      </c>
      <c r="G195" s="16">
        <v>5.55</v>
      </c>
      <c r="H195" s="16">
        <v>0</v>
      </c>
      <c r="I195" s="16">
        <f>G195*AO195</f>
        <v>0</v>
      </c>
      <c r="J195" s="16">
        <f>G195*AP195</f>
        <v>0</v>
      </c>
      <c r="K195" s="16">
        <f>G195*H195</f>
        <v>0</v>
      </c>
      <c r="L195" s="28" t="s">
        <v>775</v>
      </c>
      <c r="Z195" s="33">
        <f>IF(AQ195="5",BJ195,0)</f>
        <v>0</v>
      </c>
      <c r="AB195" s="33">
        <f>IF(AQ195="1",BH195,0)</f>
        <v>0</v>
      </c>
      <c r="AC195" s="33">
        <f>IF(AQ195="1",BI195,0)</f>
        <v>0</v>
      </c>
      <c r="AD195" s="33">
        <f>IF(AQ195="7",BH195,0)</f>
        <v>0</v>
      </c>
      <c r="AE195" s="33">
        <f>IF(AQ195="7",BI195,0)</f>
        <v>0</v>
      </c>
      <c r="AF195" s="33">
        <f>IF(AQ195="2",BH195,0)</f>
        <v>0</v>
      </c>
      <c r="AG195" s="33">
        <f>IF(AQ195="2",BI195,0)</f>
        <v>0</v>
      </c>
      <c r="AH195" s="33">
        <f>IF(AQ195="0",BJ195,0)</f>
        <v>0</v>
      </c>
      <c r="AI195" s="29"/>
      <c r="AJ195" s="16">
        <f>IF(AN195=0,K195,0)</f>
        <v>0</v>
      </c>
      <c r="AK195" s="16">
        <f>IF(AN195=15,K195,0)</f>
        <v>0</v>
      </c>
      <c r="AL195" s="16">
        <f>IF(AN195=21,K195,0)</f>
        <v>0</v>
      </c>
      <c r="AN195" s="33">
        <v>15</v>
      </c>
      <c r="AO195" s="33">
        <f>H195*0</f>
        <v>0</v>
      </c>
      <c r="AP195" s="33">
        <f>H195*(1-0)</f>
        <v>0</v>
      </c>
      <c r="AQ195" s="28" t="s">
        <v>13</v>
      </c>
      <c r="AV195" s="33">
        <f>AW195+AX195</f>
        <v>0</v>
      </c>
      <c r="AW195" s="33">
        <f>G195*AO195</f>
        <v>0</v>
      </c>
      <c r="AX195" s="33">
        <f>G195*AP195</f>
        <v>0</v>
      </c>
      <c r="AY195" s="34" t="s">
        <v>798</v>
      </c>
      <c r="AZ195" s="34" t="s">
        <v>816</v>
      </c>
      <c r="BA195" s="29" t="s">
        <v>820</v>
      </c>
      <c r="BC195" s="33">
        <f>AW195+AX195</f>
        <v>0</v>
      </c>
      <c r="BD195" s="33">
        <f>H195/(100-BE195)*100</f>
        <v>0</v>
      </c>
      <c r="BE195" s="33">
        <v>0</v>
      </c>
      <c r="BF195" s="33">
        <f>195</f>
        <v>195</v>
      </c>
      <c r="BH195" s="16">
        <f>G195*AO195</f>
        <v>0</v>
      </c>
      <c r="BI195" s="16">
        <f>G195*AP195</f>
        <v>0</v>
      </c>
      <c r="BJ195" s="16">
        <f>G195*H195</f>
        <v>0</v>
      </c>
    </row>
    <row r="196" spans="3:7" ht="10.5" customHeight="1">
      <c r="C196" s="153" t="s">
        <v>392</v>
      </c>
      <c r="D196" s="154"/>
      <c r="E196" s="154"/>
      <c r="G196" s="17">
        <v>5.55</v>
      </c>
    </row>
    <row r="197" spans="1:62" ht="12.75">
      <c r="A197" s="4" t="s">
        <v>74</v>
      </c>
      <c r="B197" s="4" t="s">
        <v>253</v>
      </c>
      <c r="C197" s="151" t="s">
        <v>515</v>
      </c>
      <c r="D197" s="152"/>
      <c r="E197" s="152"/>
      <c r="F197" s="4" t="s">
        <v>749</v>
      </c>
      <c r="G197" s="16">
        <v>14.785</v>
      </c>
      <c r="H197" s="16">
        <v>0</v>
      </c>
      <c r="I197" s="16">
        <f>G197*AO197</f>
        <v>0</v>
      </c>
      <c r="J197" s="16">
        <f>G197*AP197</f>
        <v>0</v>
      </c>
      <c r="K197" s="16">
        <f>G197*H197</f>
        <v>0</v>
      </c>
      <c r="L197" s="28" t="s">
        <v>775</v>
      </c>
      <c r="Z197" s="33">
        <f>IF(AQ197="5",BJ197,0)</f>
        <v>0</v>
      </c>
      <c r="AB197" s="33">
        <f>IF(AQ197="1",BH197,0)</f>
        <v>0</v>
      </c>
      <c r="AC197" s="33">
        <f>IF(AQ197="1",BI197,0)</f>
        <v>0</v>
      </c>
      <c r="AD197" s="33">
        <f>IF(AQ197="7",BH197,0)</f>
        <v>0</v>
      </c>
      <c r="AE197" s="33">
        <f>IF(AQ197="7",BI197,0)</f>
        <v>0</v>
      </c>
      <c r="AF197" s="33">
        <f>IF(AQ197="2",BH197,0)</f>
        <v>0</v>
      </c>
      <c r="AG197" s="33">
        <f>IF(AQ197="2",BI197,0)</f>
        <v>0</v>
      </c>
      <c r="AH197" s="33">
        <f>IF(AQ197="0",BJ197,0)</f>
        <v>0</v>
      </c>
      <c r="AI197" s="29"/>
      <c r="AJ197" s="16">
        <f>IF(AN197=0,K197,0)</f>
        <v>0</v>
      </c>
      <c r="AK197" s="16">
        <f>IF(AN197=15,K197,0)</f>
        <v>0</v>
      </c>
      <c r="AL197" s="16">
        <f>IF(AN197=21,K197,0)</f>
        <v>0</v>
      </c>
      <c r="AN197" s="33">
        <v>15</v>
      </c>
      <c r="AO197" s="33">
        <f>H197*0</f>
        <v>0</v>
      </c>
      <c r="AP197" s="33">
        <f>H197*(1-0)</f>
        <v>0</v>
      </c>
      <c r="AQ197" s="28" t="s">
        <v>13</v>
      </c>
      <c r="AV197" s="33">
        <f>AW197+AX197</f>
        <v>0</v>
      </c>
      <c r="AW197" s="33">
        <f>G197*AO197</f>
        <v>0</v>
      </c>
      <c r="AX197" s="33">
        <f>G197*AP197</f>
        <v>0</v>
      </c>
      <c r="AY197" s="34" t="s">
        <v>798</v>
      </c>
      <c r="AZ197" s="34" t="s">
        <v>816</v>
      </c>
      <c r="BA197" s="29" t="s">
        <v>820</v>
      </c>
      <c r="BC197" s="33">
        <f>AW197+AX197</f>
        <v>0</v>
      </c>
      <c r="BD197" s="33">
        <f>H197/(100-BE197)*100</f>
        <v>0</v>
      </c>
      <c r="BE197" s="33">
        <v>0</v>
      </c>
      <c r="BF197" s="33">
        <f>197</f>
        <v>197</v>
      </c>
      <c r="BH197" s="16">
        <f>G197*AO197</f>
        <v>0</v>
      </c>
      <c r="BI197" s="16">
        <f>G197*AP197</f>
        <v>0</v>
      </c>
      <c r="BJ197" s="16">
        <f>G197*H197</f>
        <v>0</v>
      </c>
    </row>
    <row r="198" spans="3:7" ht="10.5" customHeight="1">
      <c r="C198" s="153" t="s">
        <v>516</v>
      </c>
      <c r="D198" s="154"/>
      <c r="E198" s="154"/>
      <c r="G198" s="17">
        <v>6.07</v>
      </c>
    </row>
    <row r="199" spans="3:7" ht="10.5" customHeight="1">
      <c r="C199" s="153" t="s">
        <v>517</v>
      </c>
      <c r="D199" s="154"/>
      <c r="E199" s="154"/>
      <c r="G199" s="17">
        <v>8.715</v>
      </c>
    </row>
    <row r="200" spans="1:62" ht="12.75">
      <c r="A200" s="4" t="s">
        <v>75</v>
      </c>
      <c r="B200" s="4" t="s">
        <v>254</v>
      </c>
      <c r="C200" s="151" t="s">
        <v>518</v>
      </c>
      <c r="D200" s="152"/>
      <c r="E200" s="152"/>
      <c r="F200" s="4" t="s">
        <v>749</v>
      </c>
      <c r="G200" s="16">
        <v>1.3</v>
      </c>
      <c r="H200" s="16">
        <v>0</v>
      </c>
      <c r="I200" s="16">
        <f>G200*AO200</f>
        <v>0</v>
      </c>
      <c r="J200" s="16">
        <f>G200*AP200</f>
        <v>0</v>
      </c>
      <c r="K200" s="16">
        <f>G200*H200</f>
        <v>0</v>
      </c>
      <c r="L200" s="28" t="s">
        <v>775</v>
      </c>
      <c r="Z200" s="33">
        <f>IF(AQ200="5",BJ200,0)</f>
        <v>0</v>
      </c>
      <c r="AB200" s="33">
        <f>IF(AQ200="1",BH200,0)</f>
        <v>0</v>
      </c>
      <c r="AC200" s="33">
        <f>IF(AQ200="1",BI200,0)</f>
        <v>0</v>
      </c>
      <c r="AD200" s="33">
        <f>IF(AQ200="7",BH200,0)</f>
        <v>0</v>
      </c>
      <c r="AE200" s="33">
        <f>IF(AQ200="7",BI200,0)</f>
        <v>0</v>
      </c>
      <c r="AF200" s="33">
        <f>IF(AQ200="2",BH200,0)</f>
        <v>0</v>
      </c>
      <c r="AG200" s="33">
        <f>IF(AQ200="2",BI200,0)</f>
        <v>0</v>
      </c>
      <c r="AH200" s="33">
        <f>IF(AQ200="0",BJ200,0)</f>
        <v>0</v>
      </c>
      <c r="AI200" s="29"/>
      <c r="AJ200" s="16">
        <f>IF(AN200=0,K200,0)</f>
        <v>0</v>
      </c>
      <c r="AK200" s="16">
        <f>IF(AN200=15,K200,0)</f>
        <v>0</v>
      </c>
      <c r="AL200" s="16">
        <f>IF(AN200=21,K200,0)</f>
        <v>0</v>
      </c>
      <c r="AN200" s="33">
        <v>15</v>
      </c>
      <c r="AO200" s="33">
        <f>H200*0</f>
        <v>0</v>
      </c>
      <c r="AP200" s="33">
        <f>H200*(1-0)</f>
        <v>0</v>
      </c>
      <c r="AQ200" s="28" t="s">
        <v>13</v>
      </c>
      <c r="AV200" s="33">
        <f>AW200+AX200</f>
        <v>0</v>
      </c>
      <c r="AW200" s="33">
        <f>G200*AO200</f>
        <v>0</v>
      </c>
      <c r="AX200" s="33">
        <f>G200*AP200</f>
        <v>0</v>
      </c>
      <c r="AY200" s="34" t="s">
        <v>798</v>
      </c>
      <c r="AZ200" s="34" t="s">
        <v>816</v>
      </c>
      <c r="BA200" s="29" t="s">
        <v>820</v>
      </c>
      <c r="BC200" s="33">
        <f>AW200+AX200</f>
        <v>0</v>
      </c>
      <c r="BD200" s="33">
        <f>H200/(100-BE200)*100</f>
        <v>0</v>
      </c>
      <c r="BE200" s="33">
        <v>0</v>
      </c>
      <c r="BF200" s="33">
        <f>200</f>
        <v>200</v>
      </c>
      <c r="BH200" s="16">
        <f>G200*AO200</f>
        <v>0</v>
      </c>
      <c r="BI200" s="16">
        <f>G200*AP200</f>
        <v>0</v>
      </c>
      <c r="BJ200" s="16">
        <f>G200*H200</f>
        <v>0</v>
      </c>
    </row>
    <row r="201" spans="3:7" ht="10.5" customHeight="1">
      <c r="C201" s="153" t="s">
        <v>519</v>
      </c>
      <c r="D201" s="154"/>
      <c r="E201" s="154"/>
      <c r="G201" s="17">
        <v>1.3</v>
      </c>
    </row>
    <row r="202" spans="1:62" ht="12.75">
      <c r="A202" s="6" t="s">
        <v>76</v>
      </c>
      <c r="B202" s="6" t="s">
        <v>243</v>
      </c>
      <c r="C202" s="165" t="s">
        <v>520</v>
      </c>
      <c r="D202" s="166"/>
      <c r="E202" s="166"/>
      <c r="F202" s="6" t="s">
        <v>749</v>
      </c>
      <c r="G202" s="18">
        <v>1.43</v>
      </c>
      <c r="H202" s="18">
        <v>0</v>
      </c>
      <c r="I202" s="18">
        <f>G202*AO202</f>
        <v>0</v>
      </c>
      <c r="J202" s="18">
        <f>G202*AP202</f>
        <v>0</v>
      </c>
      <c r="K202" s="18">
        <f>G202*H202</f>
        <v>0</v>
      </c>
      <c r="L202" s="30" t="s">
        <v>775</v>
      </c>
      <c r="Z202" s="33">
        <f>IF(AQ202="5",BJ202,0)</f>
        <v>0</v>
      </c>
      <c r="AB202" s="33">
        <f>IF(AQ202="1",BH202,0)</f>
        <v>0</v>
      </c>
      <c r="AC202" s="33">
        <f>IF(AQ202="1",BI202,0)</f>
        <v>0</v>
      </c>
      <c r="AD202" s="33">
        <f>IF(AQ202="7",BH202,0)</f>
        <v>0</v>
      </c>
      <c r="AE202" s="33">
        <f>IF(AQ202="7",BI202,0)</f>
        <v>0</v>
      </c>
      <c r="AF202" s="33">
        <f>IF(AQ202="2",BH202,0)</f>
        <v>0</v>
      </c>
      <c r="AG202" s="33">
        <f>IF(AQ202="2",BI202,0)</f>
        <v>0</v>
      </c>
      <c r="AH202" s="33">
        <f>IF(AQ202="0",BJ202,0)</f>
        <v>0</v>
      </c>
      <c r="AI202" s="29"/>
      <c r="AJ202" s="18">
        <f>IF(AN202=0,K202,0)</f>
        <v>0</v>
      </c>
      <c r="AK202" s="18">
        <f>IF(AN202=15,K202,0)</f>
        <v>0</v>
      </c>
      <c r="AL202" s="18">
        <f>IF(AN202=21,K202,0)</f>
        <v>0</v>
      </c>
      <c r="AN202" s="33">
        <v>15</v>
      </c>
      <c r="AO202" s="33">
        <f>H202*1</f>
        <v>0</v>
      </c>
      <c r="AP202" s="33">
        <f>H202*(1-1)</f>
        <v>0</v>
      </c>
      <c r="AQ202" s="30" t="s">
        <v>13</v>
      </c>
      <c r="AV202" s="33">
        <f>AW202+AX202</f>
        <v>0</v>
      </c>
      <c r="AW202" s="33">
        <f>G202*AO202</f>
        <v>0</v>
      </c>
      <c r="AX202" s="33">
        <f>G202*AP202</f>
        <v>0</v>
      </c>
      <c r="AY202" s="34" t="s">
        <v>798</v>
      </c>
      <c r="AZ202" s="34" t="s">
        <v>816</v>
      </c>
      <c r="BA202" s="29" t="s">
        <v>820</v>
      </c>
      <c r="BC202" s="33">
        <f>AW202+AX202</f>
        <v>0</v>
      </c>
      <c r="BD202" s="33">
        <f>H202/(100-BE202)*100</f>
        <v>0</v>
      </c>
      <c r="BE202" s="33">
        <v>0</v>
      </c>
      <c r="BF202" s="33">
        <f>202</f>
        <v>202</v>
      </c>
      <c r="BH202" s="18">
        <f>G202*AO202</f>
        <v>0</v>
      </c>
      <c r="BI202" s="18">
        <f>G202*AP202</f>
        <v>0</v>
      </c>
      <c r="BJ202" s="18">
        <f>G202*H202</f>
        <v>0</v>
      </c>
    </row>
    <row r="203" spans="3:7" ht="10.5" customHeight="1">
      <c r="C203" s="153" t="s">
        <v>519</v>
      </c>
      <c r="D203" s="154"/>
      <c r="E203" s="154"/>
      <c r="G203" s="17">
        <v>1.3</v>
      </c>
    </row>
    <row r="204" spans="3:7" ht="10.5" customHeight="1">
      <c r="C204" s="153" t="s">
        <v>521</v>
      </c>
      <c r="D204" s="154"/>
      <c r="E204" s="154"/>
      <c r="G204" s="17">
        <v>0.13</v>
      </c>
    </row>
    <row r="205" spans="1:62" ht="12.75">
      <c r="A205" s="4" t="s">
        <v>77</v>
      </c>
      <c r="B205" s="4" t="s">
        <v>255</v>
      </c>
      <c r="C205" s="151" t="s">
        <v>522</v>
      </c>
      <c r="D205" s="152"/>
      <c r="E205" s="152"/>
      <c r="F205" s="4" t="s">
        <v>749</v>
      </c>
      <c r="G205" s="16">
        <v>9.89</v>
      </c>
      <c r="H205" s="16">
        <v>0</v>
      </c>
      <c r="I205" s="16">
        <f>G205*AO205</f>
        <v>0</v>
      </c>
      <c r="J205" s="16">
        <f>G205*AP205</f>
        <v>0</v>
      </c>
      <c r="K205" s="16">
        <f>G205*H205</f>
        <v>0</v>
      </c>
      <c r="L205" s="28" t="s">
        <v>775</v>
      </c>
      <c r="Z205" s="33">
        <f>IF(AQ205="5",BJ205,0)</f>
        <v>0</v>
      </c>
      <c r="AB205" s="33">
        <f>IF(AQ205="1",BH205,0)</f>
        <v>0</v>
      </c>
      <c r="AC205" s="33">
        <f>IF(AQ205="1",BI205,0)</f>
        <v>0</v>
      </c>
      <c r="AD205" s="33">
        <f>IF(AQ205="7",BH205,0)</f>
        <v>0</v>
      </c>
      <c r="AE205" s="33">
        <f>IF(AQ205="7",BI205,0)</f>
        <v>0</v>
      </c>
      <c r="AF205" s="33">
        <f>IF(AQ205="2",BH205,0)</f>
        <v>0</v>
      </c>
      <c r="AG205" s="33">
        <f>IF(AQ205="2",BI205,0)</f>
        <v>0</v>
      </c>
      <c r="AH205" s="33">
        <f>IF(AQ205="0",BJ205,0)</f>
        <v>0</v>
      </c>
      <c r="AI205" s="29"/>
      <c r="AJ205" s="16">
        <f>IF(AN205=0,K205,0)</f>
        <v>0</v>
      </c>
      <c r="AK205" s="16">
        <f>IF(AN205=15,K205,0)</f>
        <v>0</v>
      </c>
      <c r="AL205" s="16">
        <f>IF(AN205=21,K205,0)</f>
        <v>0</v>
      </c>
      <c r="AN205" s="33">
        <v>15</v>
      </c>
      <c r="AO205" s="33">
        <f>H205*0</f>
        <v>0</v>
      </c>
      <c r="AP205" s="33">
        <f>H205*(1-0)</f>
        <v>0</v>
      </c>
      <c r="AQ205" s="28" t="s">
        <v>13</v>
      </c>
      <c r="AV205" s="33">
        <f>AW205+AX205</f>
        <v>0</v>
      </c>
      <c r="AW205" s="33">
        <f>G205*AO205</f>
        <v>0</v>
      </c>
      <c r="AX205" s="33">
        <f>G205*AP205</f>
        <v>0</v>
      </c>
      <c r="AY205" s="34" t="s">
        <v>798</v>
      </c>
      <c r="AZ205" s="34" t="s">
        <v>816</v>
      </c>
      <c r="BA205" s="29" t="s">
        <v>820</v>
      </c>
      <c r="BC205" s="33">
        <f>AW205+AX205</f>
        <v>0</v>
      </c>
      <c r="BD205" s="33">
        <f>H205/(100-BE205)*100</f>
        <v>0</v>
      </c>
      <c r="BE205" s="33">
        <v>0</v>
      </c>
      <c r="BF205" s="33">
        <f>205</f>
        <v>205</v>
      </c>
      <c r="BH205" s="16">
        <f>G205*AO205</f>
        <v>0</v>
      </c>
      <c r="BI205" s="16">
        <f>G205*AP205</f>
        <v>0</v>
      </c>
      <c r="BJ205" s="16">
        <f>G205*H205</f>
        <v>0</v>
      </c>
    </row>
    <row r="206" spans="3:7" ht="10.5" customHeight="1">
      <c r="C206" s="153" t="s">
        <v>523</v>
      </c>
      <c r="D206" s="154"/>
      <c r="E206" s="154"/>
      <c r="G206" s="17">
        <v>9.89</v>
      </c>
    </row>
    <row r="207" spans="1:62" ht="12.75">
      <c r="A207" s="6" t="s">
        <v>78</v>
      </c>
      <c r="B207" s="6" t="s">
        <v>243</v>
      </c>
      <c r="C207" s="165" t="s">
        <v>524</v>
      </c>
      <c r="D207" s="166"/>
      <c r="E207" s="166"/>
      <c r="F207" s="6" t="s">
        <v>749</v>
      </c>
      <c r="G207" s="18">
        <v>10.3845</v>
      </c>
      <c r="H207" s="18">
        <v>0</v>
      </c>
      <c r="I207" s="18">
        <f>G207*AO207</f>
        <v>0</v>
      </c>
      <c r="J207" s="18">
        <f>G207*AP207</f>
        <v>0</v>
      </c>
      <c r="K207" s="18">
        <f>G207*H207</f>
        <v>0</v>
      </c>
      <c r="L207" s="30" t="s">
        <v>775</v>
      </c>
      <c r="Z207" s="33">
        <f>IF(AQ207="5",BJ207,0)</f>
        <v>0</v>
      </c>
      <c r="AB207" s="33">
        <f>IF(AQ207="1",BH207,0)</f>
        <v>0</v>
      </c>
      <c r="AC207" s="33">
        <f>IF(AQ207="1",BI207,0)</f>
        <v>0</v>
      </c>
      <c r="AD207" s="33">
        <f>IF(AQ207="7",BH207,0)</f>
        <v>0</v>
      </c>
      <c r="AE207" s="33">
        <f>IF(AQ207="7",BI207,0)</f>
        <v>0</v>
      </c>
      <c r="AF207" s="33">
        <f>IF(AQ207="2",BH207,0)</f>
        <v>0</v>
      </c>
      <c r="AG207" s="33">
        <f>IF(AQ207="2",BI207,0)</f>
        <v>0</v>
      </c>
      <c r="AH207" s="33">
        <f>IF(AQ207="0",BJ207,0)</f>
        <v>0</v>
      </c>
      <c r="AI207" s="29"/>
      <c r="AJ207" s="18">
        <f>IF(AN207=0,K207,0)</f>
        <v>0</v>
      </c>
      <c r="AK207" s="18">
        <f>IF(AN207=15,K207,0)</f>
        <v>0</v>
      </c>
      <c r="AL207" s="18">
        <f>IF(AN207=21,K207,0)</f>
        <v>0</v>
      </c>
      <c r="AN207" s="33">
        <v>15</v>
      </c>
      <c r="AO207" s="33">
        <f>H207*1</f>
        <v>0</v>
      </c>
      <c r="AP207" s="33">
        <f>H207*(1-1)</f>
        <v>0</v>
      </c>
      <c r="AQ207" s="30" t="s">
        <v>13</v>
      </c>
      <c r="AV207" s="33">
        <f>AW207+AX207</f>
        <v>0</v>
      </c>
      <c r="AW207" s="33">
        <f>G207*AO207</f>
        <v>0</v>
      </c>
      <c r="AX207" s="33">
        <f>G207*AP207</f>
        <v>0</v>
      </c>
      <c r="AY207" s="34" t="s">
        <v>798</v>
      </c>
      <c r="AZ207" s="34" t="s">
        <v>816</v>
      </c>
      <c r="BA207" s="29" t="s">
        <v>820</v>
      </c>
      <c r="BC207" s="33">
        <f>AW207+AX207</f>
        <v>0</v>
      </c>
      <c r="BD207" s="33">
        <f>H207/(100-BE207)*100</f>
        <v>0</v>
      </c>
      <c r="BE207" s="33">
        <v>0</v>
      </c>
      <c r="BF207" s="33">
        <f>207</f>
        <v>207</v>
      </c>
      <c r="BH207" s="18">
        <f>G207*AO207</f>
        <v>0</v>
      </c>
      <c r="BI207" s="18">
        <f>G207*AP207</f>
        <v>0</v>
      </c>
      <c r="BJ207" s="18">
        <f>G207*H207</f>
        <v>0</v>
      </c>
    </row>
    <row r="208" spans="3:7" ht="10.5" customHeight="1">
      <c r="C208" s="153" t="s">
        <v>525</v>
      </c>
      <c r="D208" s="154"/>
      <c r="E208" s="154"/>
      <c r="G208" s="17">
        <v>9.89</v>
      </c>
    </row>
    <row r="209" spans="3:7" ht="10.5" customHeight="1">
      <c r="C209" s="153" t="s">
        <v>526</v>
      </c>
      <c r="D209" s="154"/>
      <c r="E209" s="154"/>
      <c r="G209" s="17">
        <v>0.4945</v>
      </c>
    </row>
    <row r="210" spans="1:62" ht="12.75">
      <c r="A210" s="4" t="s">
        <v>79</v>
      </c>
      <c r="B210" s="4" t="s">
        <v>256</v>
      </c>
      <c r="C210" s="151" t="s">
        <v>527</v>
      </c>
      <c r="D210" s="152"/>
      <c r="E210" s="152"/>
      <c r="F210" s="4" t="s">
        <v>747</v>
      </c>
      <c r="G210" s="16">
        <v>5.55</v>
      </c>
      <c r="H210" s="16">
        <v>0</v>
      </c>
      <c r="I210" s="16">
        <f>G210*AO210</f>
        <v>0</v>
      </c>
      <c r="J210" s="16">
        <f>G210*AP210</f>
        <v>0</v>
      </c>
      <c r="K210" s="16">
        <f>G210*H210</f>
        <v>0</v>
      </c>
      <c r="L210" s="28" t="s">
        <v>775</v>
      </c>
      <c r="Z210" s="33">
        <f>IF(AQ210="5",BJ210,0)</f>
        <v>0</v>
      </c>
      <c r="AB210" s="33">
        <f>IF(AQ210="1",BH210,0)</f>
        <v>0</v>
      </c>
      <c r="AC210" s="33">
        <f>IF(AQ210="1",BI210,0)</f>
        <v>0</v>
      </c>
      <c r="AD210" s="33">
        <f>IF(AQ210="7",BH210,0)</f>
        <v>0</v>
      </c>
      <c r="AE210" s="33">
        <f>IF(AQ210="7",BI210,0)</f>
        <v>0</v>
      </c>
      <c r="AF210" s="33">
        <f>IF(AQ210="2",BH210,0)</f>
        <v>0</v>
      </c>
      <c r="AG210" s="33">
        <f>IF(AQ210="2",BI210,0)</f>
        <v>0</v>
      </c>
      <c r="AH210" s="33">
        <f>IF(AQ210="0",BJ210,0)</f>
        <v>0</v>
      </c>
      <c r="AI210" s="29"/>
      <c r="AJ210" s="16">
        <f>IF(AN210=0,K210,0)</f>
        <v>0</v>
      </c>
      <c r="AK210" s="16">
        <f>IF(AN210=15,K210,0)</f>
        <v>0</v>
      </c>
      <c r="AL210" s="16">
        <f>IF(AN210=21,K210,0)</f>
        <v>0</v>
      </c>
      <c r="AN210" s="33">
        <v>15</v>
      </c>
      <c r="AO210" s="33">
        <f>H210*0.15665404040404</f>
        <v>0</v>
      </c>
      <c r="AP210" s="33">
        <f>H210*(1-0.15665404040404)</f>
        <v>0</v>
      </c>
      <c r="AQ210" s="28" t="s">
        <v>13</v>
      </c>
      <c r="AV210" s="33">
        <f>AW210+AX210</f>
        <v>0</v>
      </c>
      <c r="AW210" s="33">
        <f>G210*AO210</f>
        <v>0</v>
      </c>
      <c r="AX210" s="33">
        <f>G210*AP210</f>
        <v>0</v>
      </c>
      <c r="AY210" s="34" t="s">
        <v>798</v>
      </c>
      <c r="AZ210" s="34" t="s">
        <v>816</v>
      </c>
      <c r="BA210" s="29" t="s">
        <v>820</v>
      </c>
      <c r="BC210" s="33">
        <f>AW210+AX210</f>
        <v>0</v>
      </c>
      <c r="BD210" s="33">
        <f>H210/(100-BE210)*100</f>
        <v>0</v>
      </c>
      <c r="BE210" s="33">
        <v>0</v>
      </c>
      <c r="BF210" s="33">
        <f>210</f>
        <v>210</v>
      </c>
      <c r="BH210" s="16">
        <f>G210*AO210</f>
        <v>0</v>
      </c>
      <c r="BI210" s="16">
        <f>G210*AP210</f>
        <v>0</v>
      </c>
      <c r="BJ210" s="16">
        <f>G210*H210</f>
        <v>0</v>
      </c>
    </row>
    <row r="211" spans="3:7" ht="10.5" customHeight="1">
      <c r="C211" s="153" t="s">
        <v>392</v>
      </c>
      <c r="D211" s="154"/>
      <c r="E211" s="154"/>
      <c r="G211" s="17">
        <v>5.55</v>
      </c>
    </row>
    <row r="212" spans="1:62" ht="12.75">
      <c r="A212" s="6" t="s">
        <v>80</v>
      </c>
      <c r="B212" s="6" t="s">
        <v>243</v>
      </c>
      <c r="C212" s="165" t="s">
        <v>528</v>
      </c>
      <c r="D212" s="166"/>
      <c r="E212" s="166"/>
      <c r="F212" s="6" t="s">
        <v>749</v>
      </c>
      <c r="G212" s="18">
        <v>6.105</v>
      </c>
      <c r="H212" s="18">
        <v>0</v>
      </c>
      <c r="I212" s="18">
        <f>G212*AO212</f>
        <v>0</v>
      </c>
      <c r="J212" s="18">
        <f>G212*AP212</f>
        <v>0</v>
      </c>
      <c r="K212" s="18">
        <f>G212*H212</f>
        <v>0</v>
      </c>
      <c r="L212" s="30" t="s">
        <v>775</v>
      </c>
      <c r="Z212" s="33">
        <f>IF(AQ212="5",BJ212,0)</f>
        <v>0</v>
      </c>
      <c r="AB212" s="33">
        <f>IF(AQ212="1",BH212,0)</f>
        <v>0</v>
      </c>
      <c r="AC212" s="33">
        <f>IF(AQ212="1",BI212,0)</f>
        <v>0</v>
      </c>
      <c r="AD212" s="33">
        <f>IF(AQ212="7",BH212,0)</f>
        <v>0</v>
      </c>
      <c r="AE212" s="33">
        <f>IF(AQ212="7",BI212,0)</f>
        <v>0</v>
      </c>
      <c r="AF212" s="33">
        <f>IF(AQ212="2",BH212,0)</f>
        <v>0</v>
      </c>
      <c r="AG212" s="33">
        <f>IF(AQ212="2",BI212,0)</f>
        <v>0</v>
      </c>
      <c r="AH212" s="33">
        <f>IF(AQ212="0",BJ212,0)</f>
        <v>0</v>
      </c>
      <c r="AI212" s="29"/>
      <c r="AJ212" s="18">
        <f>IF(AN212=0,K212,0)</f>
        <v>0</v>
      </c>
      <c r="AK212" s="18">
        <f>IF(AN212=15,K212,0)</f>
        <v>0</v>
      </c>
      <c r="AL212" s="18">
        <f>IF(AN212=21,K212,0)</f>
        <v>0</v>
      </c>
      <c r="AN212" s="33">
        <v>15</v>
      </c>
      <c r="AO212" s="33">
        <f>H212*1</f>
        <v>0</v>
      </c>
      <c r="AP212" s="33">
        <f>H212*(1-1)</f>
        <v>0</v>
      </c>
      <c r="AQ212" s="30" t="s">
        <v>13</v>
      </c>
      <c r="AV212" s="33">
        <f>AW212+AX212</f>
        <v>0</v>
      </c>
      <c r="AW212" s="33">
        <f>G212*AO212</f>
        <v>0</v>
      </c>
      <c r="AX212" s="33">
        <f>G212*AP212</f>
        <v>0</v>
      </c>
      <c r="AY212" s="34" t="s">
        <v>798</v>
      </c>
      <c r="AZ212" s="34" t="s">
        <v>816</v>
      </c>
      <c r="BA212" s="29" t="s">
        <v>820</v>
      </c>
      <c r="BC212" s="33">
        <f>AW212+AX212</f>
        <v>0</v>
      </c>
      <c r="BD212" s="33">
        <f>H212/(100-BE212)*100</f>
        <v>0</v>
      </c>
      <c r="BE212" s="33">
        <v>0</v>
      </c>
      <c r="BF212" s="33">
        <f>212</f>
        <v>212</v>
      </c>
      <c r="BH212" s="18">
        <f>G212*AO212</f>
        <v>0</v>
      </c>
      <c r="BI212" s="18">
        <f>G212*AP212</f>
        <v>0</v>
      </c>
      <c r="BJ212" s="18">
        <f>G212*H212</f>
        <v>0</v>
      </c>
    </row>
    <row r="213" spans="3:7" ht="10.5" customHeight="1">
      <c r="C213" s="153" t="s">
        <v>529</v>
      </c>
      <c r="D213" s="154"/>
      <c r="E213" s="154"/>
      <c r="G213" s="17">
        <v>5.55</v>
      </c>
    </row>
    <row r="214" spans="3:7" ht="10.5" customHeight="1">
      <c r="C214" s="153" t="s">
        <v>530</v>
      </c>
      <c r="D214" s="154"/>
      <c r="E214" s="154"/>
      <c r="G214" s="17">
        <v>0.555</v>
      </c>
    </row>
    <row r="215" spans="1:47" ht="12.75">
      <c r="A215" s="5"/>
      <c r="B215" s="13" t="s">
        <v>257</v>
      </c>
      <c r="C215" s="157" t="s">
        <v>531</v>
      </c>
      <c r="D215" s="158"/>
      <c r="E215" s="158"/>
      <c r="F215" s="5" t="s">
        <v>6</v>
      </c>
      <c r="G215" s="5" t="s">
        <v>6</v>
      </c>
      <c r="H215" s="5" t="s">
        <v>6</v>
      </c>
      <c r="I215" s="36">
        <f>SUM(I216:I234)</f>
        <v>0</v>
      </c>
      <c r="J215" s="36">
        <f>SUM(J216:J234)</f>
        <v>0</v>
      </c>
      <c r="K215" s="36">
        <f>SUM(K216:K234)</f>
        <v>0</v>
      </c>
      <c r="L215" s="29"/>
      <c r="AI215" s="29"/>
      <c r="AS215" s="36">
        <f>SUM(AJ216:AJ234)</f>
        <v>0</v>
      </c>
      <c r="AT215" s="36">
        <f>SUM(AK216:AK234)</f>
        <v>0</v>
      </c>
      <c r="AU215" s="36">
        <f>SUM(AL216:AL234)</f>
        <v>0</v>
      </c>
    </row>
    <row r="216" spans="1:62" ht="12.75">
      <c r="A216" s="4" t="s">
        <v>81</v>
      </c>
      <c r="B216" s="4" t="s">
        <v>258</v>
      </c>
      <c r="C216" s="151" t="s">
        <v>532</v>
      </c>
      <c r="D216" s="152"/>
      <c r="E216" s="152"/>
      <c r="F216" s="4" t="s">
        <v>747</v>
      </c>
      <c r="G216" s="16">
        <v>26.3</v>
      </c>
      <c r="H216" s="16">
        <v>0</v>
      </c>
      <c r="I216" s="16">
        <f>G216*AO216</f>
        <v>0</v>
      </c>
      <c r="J216" s="16">
        <f>G216*AP216</f>
        <v>0</v>
      </c>
      <c r="K216" s="16">
        <f>G216*H216</f>
        <v>0</v>
      </c>
      <c r="L216" s="28" t="s">
        <v>775</v>
      </c>
      <c r="Z216" s="33">
        <f>IF(AQ216="5",BJ216,0)</f>
        <v>0</v>
      </c>
      <c r="AB216" s="33">
        <f>IF(AQ216="1",BH216,0)</f>
        <v>0</v>
      </c>
      <c r="AC216" s="33">
        <f>IF(AQ216="1",BI216,0)</f>
        <v>0</v>
      </c>
      <c r="AD216" s="33">
        <f>IF(AQ216="7",BH216,0)</f>
        <v>0</v>
      </c>
      <c r="AE216" s="33">
        <f>IF(AQ216="7",BI216,0)</f>
        <v>0</v>
      </c>
      <c r="AF216" s="33">
        <f>IF(AQ216="2",BH216,0)</f>
        <v>0</v>
      </c>
      <c r="AG216" s="33">
        <f>IF(AQ216="2",BI216,0)</f>
        <v>0</v>
      </c>
      <c r="AH216" s="33">
        <f>IF(AQ216="0",BJ216,0)</f>
        <v>0</v>
      </c>
      <c r="AI216" s="29"/>
      <c r="AJ216" s="16">
        <f>IF(AN216=0,K216,0)</f>
        <v>0</v>
      </c>
      <c r="AK216" s="16">
        <f>IF(AN216=15,K216,0)</f>
        <v>0</v>
      </c>
      <c r="AL216" s="16">
        <f>IF(AN216=21,K216,0)</f>
        <v>0</v>
      </c>
      <c r="AN216" s="33">
        <v>15</v>
      </c>
      <c r="AO216" s="33">
        <f>H216*0.0872558139534884</f>
        <v>0</v>
      </c>
      <c r="AP216" s="33">
        <f>H216*(1-0.0872558139534884)</f>
        <v>0</v>
      </c>
      <c r="AQ216" s="28" t="s">
        <v>13</v>
      </c>
      <c r="AV216" s="33">
        <f>AW216+AX216</f>
        <v>0</v>
      </c>
      <c r="AW216" s="33">
        <f>G216*AO216</f>
        <v>0</v>
      </c>
      <c r="AX216" s="33">
        <f>G216*AP216</f>
        <v>0</v>
      </c>
      <c r="AY216" s="34" t="s">
        <v>799</v>
      </c>
      <c r="AZ216" s="34" t="s">
        <v>816</v>
      </c>
      <c r="BA216" s="29" t="s">
        <v>820</v>
      </c>
      <c r="BC216" s="33">
        <f>AW216+AX216</f>
        <v>0</v>
      </c>
      <c r="BD216" s="33">
        <f>H216/(100-BE216)*100</f>
        <v>0</v>
      </c>
      <c r="BE216" s="33">
        <v>0</v>
      </c>
      <c r="BF216" s="33">
        <f>216</f>
        <v>216</v>
      </c>
      <c r="BH216" s="16">
        <f>G216*AO216</f>
        <v>0</v>
      </c>
      <c r="BI216" s="16">
        <f>G216*AP216</f>
        <v>0</v>
      </c>
      <c r="BJ216" s="16">
        <f>G216*H216</f>
        <v>0</v>
      </c>
    </row>
    <row r="217" spans="3:7" ht="10.5" customHeight="1">
      <c r="C217" s="153" t="s">
        <v>533</v>
      </c>
      <c r="D217" s="154"/>
      <c r="E217" s="154"/>
      <c r="G217" s="17">
        <v>26.3</v>
      </c>
    </row>
    <row r="218" spans="1:62" ht="12.75">
      <c r="A218" s="4" t="s">
        <v>82</v>
      </c>
      <c r="B218" s="4" t="s">
        <v>259</v>
      </c>
      <c r="C218" s="151" t="s">
        <v>534</v>
      </c>
      <c r="D218" s="152"/>
      <c r="E218" s="152"/>
      <c r="F218" s="4" t="s">
        <v>747</v>
      </c>
      <c r="G218" s="16">
        <v>26.3</v>
      </c>
      <c r="H218" s="16">
        <v>0</v>
      </c>
      <c r="I218" s="16">
        <f>G218*AO218</f>
        <v>0</v>
      </c>
      <c r="J218" s="16">
        <f>G218*AP218</f>
        <v>0</v>
      </c>
      <c r="K218" s="16">
        <f>G218*H218</f>
        <v>0</v>
      </c>
      <c r="L218" s="28" t="s">
        <v>775</v>
      </c>
      <c r="Z218" s="33">
        <f>IF(AQ218="5",BJ218,0)</f>
        <v>0</v>
      </c>
      <c r="AB218" s="33">
        <f>IF(AQ218="1",BH218,0)</f>
        <v>0</v>
      </c>
      <c r="AC218" s="33">
        <f>IF(AQ218="1",BI218,0)</f>
        <v>0</v>
      </c>
      <c r="AD218" s="33">
        <f>IF(AQ218="7",BH218,0)</f>
        <v>0</v>
      </c>
      <c r="AE218" s="33">
        <f>IF(AQ218="7",BI218,0)</f>
        <v>0</v>
      </c>
      <c r="AF218" s="33">
        <f>IF(AQ218="2",BH218,0)</f>
        <v>0</v>
      </c>
      <c r="AG218" s="33">
        <f>IF(AQ218="2",BI218,0)</f>
        <v>0</v>
      </c>
      <c r="AH218" s="33">
        <f>IF(AQ218="0",BJ218,0)</f>
        <v>0</v>
      </c>
      <c r="AI218" s="29"/>
      <c r="AJ218" s="16">
        <f>IF(AN218=0,K218,0)</f>
        <v>0</v>
      </c>
      <c r="AK218" s="16">
        <f>IF(AN218=15,K218,0)</f>
        <v>0</v>
      </c>
      <c r="AL218" s="16">
        <f>IF(AN218=21,K218,0)</f>
        <v>0</v>
      </c>
      <c r="AN218" s="33">
        <v>15</v>
      </c>
      <c r="AO218" s="33">
        <f>H218*0.712609699769053</f>
        <v>0</v>
      </c>
      <c r="AP218" s="33">
        <f>H218*(1-0.712609699769053)</f>
        <v>0</v>
      </c>
      <c r="AQ218" s="28" t="s">
        <v>13</v>
      </c>
      <c r="AV218" s="33">
        <f>AW218+AX218</f>
        <v>0</v>
      </c>
      <c r="AW218" s="33">
        <f>G218*AO218</f>
        <v>0</v>
      </c>
      <c r="AX218" s="33">
        <f>G218*AP218</f>
        <v>0</v>
      </c>
      <c r="AY218" s="34" t="s">
        <v>799</v>
      </c>
      <c r="AZ218" s="34" t="s">
        <v>816</v>
      </c>
      <c r="BA218" s="29" t="s">
        <v>820</v>
      </c>
      <c r="BC218" s="33">
        <f>AW218+AX218</f>
        <v>0</v>
      </c>
      <c r="BD218" s="33">
        <f>H218/(100-BE218)*100</f>
        <v>0</v>
      </c>
      <c r="BE218" s="33">
        <v>0</v>
      </c>
      <c r="BF218" s="33">
        <f>218</f>
        <v>218</v>
      </c>
      <c r="BH218" s="16">
        <f>G218*AO218</f>
        <v>0</v>
      </c>
      <c r="BI218" s="16">
        <f>G218*AP218</f>
        <v>0</v>
      </c>
      <c r="BJ218" s="16">
        <f>G218*H218</f>
        <v>0</v>
      </c>
    </row>
    <row r="219" spans="3:7" ht="10.5" customHeight="1">
      <c r="C219" s="153" t="s">
        <v>533</v>
      </c>
      <c r="D219" s="154"/>
      <c r="E219" s="154"/>
      <c r="G219" s="17">
        <v>26.3</v>
      </c>
    </row>
    <row r="220" spans="1:62" ht="12.75">
      <c r="A220" s="4" t="s">
        <v>83</v>
      </c>
      <c r="B220" s="4" t="s">
        <v>260</v>
      </c>
      <c r="C220" s="151" t="s">
        <v>535</v>
      </c>
      <c r="D220" s="152"/>
      <c r="E220" s="152"/>
      <c r="F220" s="4" t="s">
        <v>747</v>
      </c>
      <c r="G220" s="16">
        <v>26.3</v>
      </c>
      <c r="H220" s="16">
        <v>0</v>
      </c>
      <c r="I220" s="16">
        <f>G220*AO220</f>
        <v>0</v>
      </c>
      <c r="J220" s="16">
        <f>G220*AP220</f>
        <v>0</v>
      </c>
      <c r="K220" s="16">
        <f>G220*H220</f>
        <v>0</v>
      </c>
      <c r="L220" s="28" t="s">
        <v>775</v>
      </c>
      <c r="Z220" s="33">
        <f>IF(AQ220="5",BJ220,0)</f>
        <v>0</v>
      </c>
      <c r="AB220" s="33">
        <f>IF(AQ220="1",BH220,0)</f>
        <v>0</v>
      </c>
      <c r="AC220" s="33">
        <f>IF(AQ220="1",BI220,0)</f>
        <v>0</v>
      </c>
      <c r="AD220" s="33">
        <f>IF(AQ220="7",BH220,0)</f>
        <v>0</v>
      </c>
      <c r="AE220" s="33">
        <f>IF(AQ220="7",BI220,0)</f>
        <v>0</v>
      </c>
      <c r="AF220" s="33">
        <f>IF(AQ220="2",BH220,0)</f>
        <v>0</v>
      </c>
      <c r="AG220" s="33">
        <f>IF(AQ220="2",BI220,0)</f>
        <v>0</v>
      </c>
      <c r="AH220" s="33">
        <f>IF(AQ220="0",BJ220,0)</f>
        <v>0</v>
      </c>
      <c r="AI220" s="29"/>
      <c r="AJ220" s="16">
        <f>IF(AN220=0,K220,0)</f>
        <v>0</v>
      </c>
      <c r="AK220" s="16">
        <f>IF(AN220=15,K220,0)</f>
        <v>0</v>
      </c>
      <c r="AL220" s="16">
        <f>IF(AN220=21,K220,0)</f>
        <v>0</v>
      </c>
      <c r="AN220" s="33">
        <v>15</v>
      </c>
      <c r="AO220" s="33">
        <f>H220*0.397614678899083</f>
        <v>0</v>
      </c>
      <c r="AP220" s="33">
        <f>H220*(1-0.397614678899083)</f>
        <v>0</v>
      </c>
      <c r="AQ220" s="28" t="s">
        <v>13</v>
      </c>
      <c r="AV220" s="33">
        <f>AW220+AX220</f>
        <v>0</v>
      </c>
      <c r="AW220" s="33">
        <f>G220*AO220</f>
        <v>0</v>
      </c>
      <c r="AX220" s="33">
        <f>G220*AP220</f>
        <v>0</v>
      </c>
      <c r="AY220" s="34" t="s">
        <v>799</v>
      </c>
      <c r="AZ220" s="34" t="s">
        <v>816</v>
      </c>
      <c r="BA220" s="29" t="s">
        <v>820</v>
      </c>
      <c r="BC220" s="33">
        <f>AW220+AX220</f>
        <v>0</v>
      </c>
      <c r="BD220" s="33">
        <f>H220/(100-BE220)*100</f>
        <v>0</v>
      </c>
      <c r="BE220" s="33">
        <v>0</v>
      </c>
      <c r="BF220" s="33">
        <f>220</f>
        <v>220</v>
      </c>
      <c r="BH220" s="16">
        <f>G220*AO220</f>
        <v>0</v>
      </c>
      <c r="BI220" s="16">
        <f>G220*AP220</f>
        <v>0</v>
      </c>
      <c r="BJ220" s="16">
        <f>G220*H220</f>
        <v>0</v>
      </c>
    </row>
    <row r="221" spans="3:7" ht="10.5" customHeight="1">
      <c r="C221" s="153" t="s">
        <v>533</v>
      </c>
      <c r="D221" s="154"/>
      <c r="E221" s="154"/>
      <c r="G221" s="17">
        <v>26.3</v>
      </c>
    </row>
    <row r="222" spans="1:62" ht="12.75">
      <c r="A222" s="4" t="s">
        <v>84</v>
      </c>
      <c r="B222" s="4" t="s">
        <v>249</v>
      </c>
      <c r="C222" s="151" t="s">
        <v>536</v>
      </c>
      <c r="D222" s="152"/>
      <c r="E222" s="152"/>
      <c r="F222" s="4" t="s">
        <v>747</v>
      </c>
      <c r="G222" s="16">
        <v>30.2</v>
      </c>
      <c r="H222" s="16">
        <v>0</v>
      </c>
      <c r="I222" s="16">
        <f>G222*AO222</f>
        <v>0</v>
      </c>
      <c r="J222" s="16">
        <f>G222*AP222</f>
        <v>0</v>
      </c>
      <c r="K222" s="16">
        <f>G222*H222</f>
        <v>0</v>
      </c>
      <c r="L222" s="28" t="s">
        <v>775</v>
      </c>
      <c r="Z222" s="33">
        <f>IF(AQ222="5",BJ222,0)</f>
        <v>0</v>
      </c>
      <c r="AB222" s="33">
        <f>IF(AQ222="1",BH222,0)</f>
        <v>0</v>
      </c>
      <c r="AC222" s="33">
        <f>IF(AQ222="1",BI222,0)</f>
        <v>0</v>
      </c>
      <c r="AD222" s="33">
        <f>IF(AQ222="7",BH222,0)</f>
        <v>0</v>
      </c>
      <c r="AE222" s="33">
        <f>IF(AQ222="7",BI222,0)</f>
        <v>0</v>
      </c>
      <c r="AF222" s="33">
        <f>IF(AQ222="2",BH222,0)</f>
        <v>0</v>
      </c>
      <c r="AG222" s="33">
        <f>IF(AQ222="2",BI222,0)</f>
        <v>0</v>
      </c>
      <c r="AH222" s="33">
        <f>IF(AQ222="0",BJ222,0)</f>
        <v>0</v>
      </c>
      <c r="AI222" s="29"/>
      <c r="AJ222" s="16">
        <f>IF(AN222=0,K222,0)</f>
        <v>0</v>
      </c>
      <c r="AK222" s="16">
        <f>IF(AN222=15,K222,0)</f>
        <v>0</v>
      </c>
      <c r="AL222" s="16">
        <f>IF(AN222=21,K222,0)</f>
        <v>0</v>
      </c>
      <c r="AN222" s="33">
        <v>15</v>
      </c>
      <c r="AO222" s="33">
        <f>H222*0</f>
        <v>0</v>
      </c>
      <c r="AP222" s="33">
        <f>H222*(1-0)</f>
        <v>0</v>
      </c>
      <c r="AQ222" s="28" t="s">
        <v>13</v>
      </c>
      <c r="AV222" s="33">
        <f>AW222+AX222</f>
        <v>0</v>
      </c>
      <c r="AW222" s="33">
        <f>G222*AO222</f>
        <v>0</v>
      </c>
      <c r="AX222" s="33">
        <f>G222*AP222</f>
        <v>0</v>
      </c>
      <c r="AY222" s="34" t="s">
        <v>799</v>
      </c>
      <c r="AZ222" s="34" t="s">
        <v>816</v>
      </c>
      <c r="BA222" s="29" t="s">
        <v>820</v>
      </c>
      <c r="BC222" s="33">
        <f>AW222+AX222</f>
        <v>0</v>
      </c>
      <c r="BD222" s="33">
        <f>H222/(100-BE222)*100</f>
        <v>0</v>
      </c>
      <c r="BE222" s="33">
        <v>0</v>
      </c>
      <c r="BF222" s="33">
        <f>222</f>
        <v>222</v>
      </c>
      <c r="BH222" s="16">
        <f>G222*AO222</f>
        <v>0</v>
      </c>
      <c r="BI222" s="16">
        <f>G222*AP222</f>
        <v>0</v>
      </c>
      <c r="BJ222" s="16">
        <f>G222*H222</f>
        <v>0</v>
      </c>
    </row>
    <row r="223" spans="3:7" ht="10.5" customHeight="1">
      <c r="C223" s="153" t="s">
        <v>537</v>
      </c>
      <c r="D223" s="154"/>
      <c r="E223" s="154"/>
      <c r="G223" s="17">
        <v>30.2</v>
      </c>
    </row>
    <row r="224" spans="1:62" ht="12.75">
      <c r="A224" s="4" t="s">
        <v>85</v>
      </c>
      <c r="B224" s="4" t="s">
        <v>261</v>
      </c>
      <c r="C224" s="151" t="s">
        <v>538</v>
      </c>
      <c r="D224" s="152"/>
      <c r="E224" s="152"/>
      <c r="F224" s="4" t="s">
        <v>747</v>
      </c>
      <c r="G224" s="16">
        <v>30.2</v>
      </c>
      <c r="H224" s="16">
        <v>0</v>
      </c>
      <c r="I224" s="16">
        <f>G224*AO224</f>
        <v>0</v>
      </c>
      <c r="J224" s="16">
        <f>G224*AP224</f>
        <v>0</v>
      </c>
      <c r="K224" s="16">
        <f>G224*H224</f>
        <v>0</v>
      </c>
      <c r="L224" s="28" t="s">
        <v>775</v>
      </c>
      <c r="Z224" s="33">
        <f>IF(AQ224="5",BJ224,0)</f>
        <v>0</v>
      </c>
      <c r="AB224" s="33">
        <f>IF(AQ224="1",BH224,0)</f>
        <v>0</v>
      </c>
      <c r="AC224" s="33">
        <f>IF(AQ224="1",BI224,0)</f>
        <v>0</v>
      </c>
      <c r="AD224" s="33">
        <f>IF(AQ224="7",BH224,0)</f>
        <v>0</v>
      </c>
      <c r="AE224" s="33">
        <f>IF(AQ224="7",BI224,0)</f>
        <v>0</v>
      </c>
      <c r="AF224" s="33">
        <f>IF(AQ224="2",BH224,0)</f>
        <v>0</v>
      </c>
      <c r="AG224" s="33">
        <f>IF(AQ224="2",BI224,0)</f>
        <v>0</v>
      </c>
      <c r="AH224" s="33">
        <f>IF(AQ224="0",BJ224,0)</f>
        <v>0</v>
      </c>
      <c r="AI224" s="29"/>
      <c r="AJ224" s="16">
        <f>IF(AN224=0,K224,0)</f>
        <v>0</v>
      </c>
      <c r="AK224" s="16">
        <f>IF(AN224=15,K224,0)</f>
        <v>0</v>
      </c>
      <c r="AL224" s="16">
        <f>IF(AN224=21,K224,0)</f>
        <v>0</v>
      </c>
      <c r="AN224" s="33">
        <v>15</v>
      </c>
      <c r="AO224" s="33">
        <f>H224*0.0896991576413959</f>
        <v>0</v>
      </c>
      <c r="AP224" s="33">
        <f>H224*(1-0.0896991576413959)</f>
        <v>0</v>
      </c>
      <c r="AQ224" s="28" t="s">
        <v>13</v>
      </c>
      <c r="AV224" s="33">
        <f>AW224+AX224</f>
        <v>0</v>
      </c>
      <c r="AW224" s="33">
        <f>G224*AO224</f>
        <v>0</v>
      </c>
      <c r="AX224" s="33">
        <f>G224*AP224</f>
        <v>0</v>
      </c>
      <c r="AY224" s="34" t="s">
        <v>799</v>
      </c>
      <c r="AZ224" s="34" t="s">
        <v>816</v>
      </c>
      <c r="BA224" s="29" t="s">
        <v>820</v>
      </c>
      <c r="BC224" s="33">
        <f>AW224+AX224</f>
        <v>0</v>
      </c>
      <c r="BD224" s="33">
        <f>H224/(100-BE224)*100</f>
        <v>0</v>
      </c>
      <c r="BE224" s="33">
        <v>0</v>
      </c>
      <c r="BF224" s="33">
        <f>224</f>
        <v>224</v>
      </c>
      <c r="BH224" s="16">
        <f>G224*AO224</f>
        <v>0</v>
      </c>
      <c r="BI224" s="16">
        <f>G224*AP224</f>
        <v>0</v>
      </c>
      <c r="BJ224" s="16">
        <f>G224*H224</f>
        <v>0</v>
      </c>
    </row>
    <row r="225" spans="3:7" ht="10.5" customHeight="1">
      <c r="C225" s="153" t="s">
        <v>537</v>
      </c>
      <c r="D225" s="154"/>
      <c r="E225" s="154"/>
      <c r="G225" s="17">
        <v>30.2</v>
      </c>
    </row>
    <row r="226" spans="1:62" ht="12.75">
      <c r="A226" s="6" t="s">
        <v>86</v>
      </c>
      <c r="B226" s="6" t="s">
        <v>243</v>
      </c>
      <c r="C226" s="165" t="s">
        <v>539</v>
      </c>
      <c r="D226" s="166"/>
      <c r="E226" s="166"/>
      <c r="F226" s="6" t="s">
        <v>749</v>
      </c>
      <c r="G226" s="18">
        <v>31.71</v>
      </c>
      <c r="H226" s="18">
        <v>0</v>
      </c>
      <c r="I226" s="18">
        <f>G226*AO226</f>
        <v>0</v>
      </c>
      <c r="J226" s="18">
        <f>G226*AP226</f>
        <v>0</v>
      </c>
      <c r="K226" s="18">
        <f>G226*H226</f>
        <v>0</v>
      </c>
      <c r="L226" s="30" t="s">
        <v>775</v>
      </c>
      <c r="Z226" s="33">
        <f>IF(AQ226="5",BJ226,0)</f>
        <v>0</v>
      </c>
      <c r="AB226" s="33">
        <f>IF(AQ226="1",BH226,0)</f>
        <v>0</v>
      </c>
      <c r="AC226" s="33">
        <f>IF(AQ226="1",BI226,0)</f>
        <v>0</v>
      </c>
      <c r="AD226" s="33">
        <f>IF(AQ226="7",BH226,0)</f>
        <v>0</v>
      </c>
      <c r="AE226" s="33">
        <f>IF(AQ226="7",BI226,0)</f>
        <v>0</v>
      </c>
      <c r="AF226" s="33">
        <f>IF(AQ226="2",BH226,0)</f>
        <v>0</v>
      </c>
      <c r="AG226" s="33">
        <f>IF(AQ226="2",BI226,0)</f>
        <v>0</v>
      </c>
      <c r="AH226" s="33">
        <f>IF(AQ226="0",BJ226,0)</f>
        <v>0</v>
      </c>
      <c r="AI226" s="29"/>
      <c r="AJ226" s="18">
        <f>IF(AN226=0,K226,0)</f>
        <v>0</v>
      </c>
      <c r="AK226" s="18">
        <f>IF(AN226=15,K226,0)</f>
        <v>0</v>
      </c>
      <c r="AL226" s="18">
        <f>IF(AN226=21,K226,0)</f>
        <v>0</v>
      </c>
      <c r="AN226" s="33">
        <v>15</v>
      </c>
      <c r="AO226" s="33">
        <f>H226*1</f>
        <v>0</v>
      </c>
      <c r="AP226" s="33">
        <f>H226*(1-1)</f>
        <v>0</v>
      </c>
      <c r="AQ226" s="30" t="s">
        <v>13</v>
      </c>
      <c r="AV226" s="33">
        <f>AW226+AX226</f>
        <v>0</v>
      </c>
      <c r="AW226" s="33">
        <f>G226*AO226</f>
        <v>0</v>
      </c>
      <c r="AX226" s="33">
        <f>G226*AP226</f>
        <v>0</v>
      </c>
      <c r="AY226" s="34" t="s">
        <v>799</v>
      </c>
      <c r="AZ226" s="34" t="s">
        <v>816</v>
      </c>
      <c r="BA226" s="29" t="s">
        <v>820</v>
      </c>
      <c r="BC226" s="33">
        <f>AW226+AX226</f>
        <v>0</v>
      </c>
      <c r="BD226" s="33">
        <f>H226/(100-BE226)*100</f>
        <v>0</v>
      </c>
      <c r="BE226" s="33">
        <v>0</v>
      </c>
      <c r="BF226" s="33">
        <f>226</f>
        <v>226</v>
      </c>
      <c r="BH226" s="18">
        <f>G226*AO226</f>
        <v>0</v>
      </c>
      <c r="BI226" s="18">
        <f>G226*AP226</f>
        <v>0</v>
      </c>
      <c r="BJ226" s="18">
        <f>G226*H226</f>
        <v>0</v>
      </c>
    </row>
    <row r="227" spans="3:7" ht="10.5" customHeight="1">
      <c r="C227" s="153" t="s">
        <v>537</v>
      </c>
      <c r="D227" s="154"/>
      <c r="E227" s="154"/>
      <c r="G227" s="17">
        <v>30.2</v>
      </c>
    </row>
    <row r="228" spans="3:7" ht="10.5" customHeight="1">
      <c r="C228" s="153" t="s">
        <v>540</v>
      </c>
      <c r="D228" s="154"/>
      <c r="E228" s="154"/>
      <c r="G228" s="17">
        <v>1.51</v>
      </c>
    </row>
    <row r="229" spans="1:62" ht="12.75">
      <c r="A229" s="4" t="s">
        <v>87</v>
      </c>
      <c r="B229" s="4" t="s">
        <v>262</v>
      </c>
      <c r="C229" s="151" t="s">
        <v>541</v>
      </c>
      <c r="D229" s="152"/>
      <c r="E229" s="152"/>
      <c r="F229" s="4" t="s">
        <v>747</v>
      </c>
      <c r="G229" s="16">
        <v>30.2</v>
      </c>
      <c r="H229" s="16">
        <v>0</v>
      </c>
      <c r="I229" s="16">
        <f>G229*AO229</f>
        <v>0</v>
      </c>
      <c r="J229" s="16">
        <f>G229*AP229</f>
        <v>0</v>
      </c>
      <c r="K229" s="16">
        <f>G229*H229</f>
        <v>0</v>
      </c>
      <c r="L229" s="28" t="s">
        <v>775</v>
      </c>
      <c r="Z229" s="33">
        <f>IF(AQ229="5",BJ229,0)</f>
        <v>0</v>
      </c>
      <c r="AB229" s="33">
        <f>IF(AQ229="1",BH229,0)</f>
        <v>0</v>
      </c>
      <c r="AC229" s="33">
        <f>IF(AQ229="1",BI229,0)</f>
        <v>0</v>
      </c>
      <c r="AD229" s="33">
        <f>IF(AQ229="7",BH229,0)</f>
        <v>0</v>
      </c>
      <c r="AE229" s="33">
        <f>IF(AQ229="7",BI229,0)</f>
        <v>0</v>
      </c>
      <c r="AF229" s="33">
        <f>IF(AQ229="2",BH229,0)</f>
        <v>0</v>
      </c>
      <c r="AG229" s="33">
        <f>IF(AQ229="2",BI229,0)</f>
        <v>0</v>
      </c>
      <c r="AH229" s="33">
        <f>IF(AQ229="0",BJ229,0)</f>
        <v>0</v>
      </c>
      <c r="AI229" s="29"/>
      <c r="AJ229" s="16">
        <f>IF(AN229=0,K229,0)</f>
        <v>0</v>
      </c>
      <c r="AK229" s="16">
        <f>IF(AN229=15,K229,0)</f>
        <v>0</v>
      </c>
      <c r="AL229" s="16">
        <f>IF(AN229=21,K229,0)</f>
        <v>0</v>
      </c>
      <c r="AN229" s="33">
        <v>15</v>
      </c>
      <c r="AO229" s="33">
        <f>H229*0</f>
        <v>0</v>
      </c>
      <c r="AP229" s="33">
        <f>H229*(1-0)</f>
        <v>0</v>
      </c>
      <c r="AQ229" s="28" t="s">
        <v>13</v>
      </c>
      <c r="AV229" s="33">
        <f>AW229+AX229</f>
        <v>0</v>
      </c>
      <c r="AW229" s="33">
        <f>G229*AO229</f>
        <v>0</v>
      </c>
      <c r="AX229" s="33">
        <f>G229*AP229</f>
        <v>0</v>
      </c>
      <c r="AY229" s="34" t="s">
        <v>799</v>
      </c>
      <c r="AZ229" s="34" t="s">
        <v>816</v>
      </c>
      <c r="BA229" s="29" t="s">
        <v>820</v>
      </c>
      <c r="BC229" s="33">
        <f>AW229+AX229</f>
        <v>0</v>
      </c>
      <c r="BD229" s="33">
        <f>H229/(100-BE229)*100</f>
        <v>0</v>
      </c>
      <c r="BE229" s="33">
        <v>0</v>
      </c>
      <c r="BF229" s="33">
        <f>229</f>
        <v>229</v>
      </c>
      <c r="BH229" s="16">
        <f>G229*AO229</f>
        <v>0</v>
      </c>
      <c r="BI229" s="16">
        <f>G229*AP229</f>
        <v>0</v>
      </c>
      <c r="BJ229" s="16">
        <f>G229*H229</f>
        <v>0</v>
      </c>
    </row>
    <row r="230" spans="3:7" ht="10.5" customHeight="1">
      <c r="C230" s="153" t="s">
        <v>537</v>
      </c>
      <c r="D230" s="154"/>
      <c r="E230" s="154"/>
      <c r="G230" s="17">
        <v>30.2</v>
      </c>
    </row>
    <row r="231" spans="1:62" ht="12.75">
      <c r="A231" s="6" t="s">
        <v>88</v>
      </c>
      <c r="B231" s="6" t="s">
        <v>263</v>
      </c>
      <c r="C231" s="165" t="s">
        <v>542</v>
      </c>
      <c r="D231" s="166"/>
      <c r="E231" s="166"/>
      <c r="F231" s="6" t="s">
        <v>747</v>
      </c>
      <c r="G231" s="18">
        <v>33.22</v>
      </c>
      <c r="H231" s="18">
        <v>0</v>
      </c>
      <c r="I231" s="18">
        <f>G231*AO231</f>
        <v>0</v>
      </c>
      <c r="J231" s="18">
        <f>G231*AP231</f>
        <v>0</v>
      </c>
      <c r="K231" s="18">
        <f>G231*H231</f>
        <v>0</v>
      </c>
      <c r="L231" s="30" t="s">
        <v>775</v>
      </c>
      <c r="Z231" s="33">
        <f>IF(AQ231="5",BJ231,0)</f>
        <v>0</v>
      </c>
      <c r="AB231" s="33">
        <f>IF(AQ231="1",BH231,0)</f>
        <v>0</v>
      </c>
      <c r="AC231" s="33">
        <f>IF(AQ231="1",BI231,0)</f>
        <v>0</v>
      </c>
      <c r="AD231" s="33">
        <f>IF(AQ231="7",BH231,0)</f>
        <v>0</v>
      </c>
      <c r="AE231" s="33">
        <f>IF(AQ231="7",BI231,0)</f>
        <v>0</v>
      </c>
      <c r="AF231" s="33">
        <f>IF(AQ231="2",BH231,0)</f>
        <v>0</v>
      </c>
      <c r="AG231" s="33">
        <f>IF(AQ231="2",BI231,0)</f>
        <v>0</v>
      </c>
      <c r="AH231" s="33">
        <f>IF(AQ231="0",BJ231,0)</f>
        <v>0</v>
      </c>
      <c r="AI231" s="29"/>
      <c r="AJ231" s="18">
        <f>IF(AN231=0,K231,0)</f>
        <v>0</v>
      </c>
      <c r="AK231" s="18">
        <f>IF(AN231=15,K231,0)</f>
        <v>0</v>
      </c>
      <c r="AL231" s="18">
        <f>IF(AN231=21,K231,0)</f>
        <v>0</v>
      </c>
      <c r="AN231" s="33">
        <v>15</v>
      </c>
      <c r="AO231" s="33">
        <f>H231*1</f>
        <v>0</v>
      </c>
      <c r="AP231" s="33">
        <f>H231*(1-1)</f>
        <v>0</v>
      </c>
      <c r="AQ231" s="30" t="s">
        <v>13</v>
      </c>
      <c r="AV231" s="33">
        <f>AW231+AX231</f>
        <v>0</v>
      </c>
      <c r="AW231" s="33">
        <f>G231*AO231</f>
        <v>0</v>
      </c>
      <c r="AX231" s="33">
        <f>G231*AP231</f>
        <v>0</v>
      </c>
      <c r="AY231" s="34" t="s">
        <v>799</v>
      </c>
      <c r="AZ231" s="34" t="s">
        <v>816</v>
      </c>
      <c r="BA231" s="29" t="s">
        <v>820</v>
      </c>
      <c r="BC231" s="33">
        <f>AW231+AX231</f>
        <v>0</v>
      </c>
      <c r="BD231" s="33">
        <f>H231/(100-BE231)*100</f>
        <v>0</v>
      </c>
      <c r="BE231" s="33">
        <v>0</v>
      </c>
      <c r="BF231" s="33">
        <f>231</f>
        <v>231</v>
      </c>
      <c r="BH231" s="18">
        <f>G231*AO231</f>
        <v>0</v>
      </c>
      <c r="BI231" s="18">
        <f>G231*AP231</f>
        <v>0</v>
      </c>
      <c r="BJ231" s="18">
        <f>G231*H231</f>
        <v>0</v>
      </c>
    </row>
    <row r="232" spans="3:7" ht="10.5" customHeight="1">
      <c r="C232" s="153" t="s">
        <v>537</v>
      </c>
      <c r="D232" s="154"/>
      <c r="E232" s="154"/>
      <c r="G232" s="17">
        <v>30.2</v>
      </c>
    </row>
    <row r="233" spans="3:7" ht="10.5" customHeight="1">
      <c r="C233" s="153" t="s">
        <v>543</v>
      </c>
      <c r="D233" s="154"/>
      <c r="E233" s="154"/>
      <c r="G233" s="17">
        <v>3.02</v>
      </c>
    </row>
    <row r="234" spans="1:62" ht="12.75">
      <c r="A234" s="4" t="s">
        <v>89</v>
      </c>
      <c r="B234" s="4" t="s">
        <v>264</v>
      </c>
      <c r="C234" s="151" t="s">
        <v>544</v>
      </c>
      <c r="D234" s="152"/>
      <c r="E234" s="152"/>
      <c r="F234" s="4" t="s">
        <v>752</v>
      </c>
      <c r="G234" s="16">
        <v>1</v>
      </c>
      <c r="H234" s="16">
        <v>0</v>
      </c>
      <c r="I234" s="16">
        <f>G234*AO234</f>
        <v>0</v>
      </c>
      <c r="J234" s="16">
        <f>G234*AP234</f>
        <v>0</v>
      </c>
      <c r="K234" s="16">
        <f>G234*H234</f>
        <v>0</v>
      </c>
      <c r="L234" s="28" t="s">
        <v>775</v>
      </c>
      <c r="Z234" s="33">
        <f>IF(AQ234="5",BJ234,0)</f>
        <v>0</v>
      </c>
      <c r="AB234" s="33">
        <f>IF(AQ234="1",BH234,0)</f>
        <v>0</v>
      </c>
      <c r="AC234" s="33">
        <f>IF(AQ234="1",BI234,0)</f>
        <v>0</v>
      </c>
      <c r="AD234" s="33">
        <f>IF(AQ234="7",BH234,0)</f>
        <v>0</v>
      </c>
      <c r="AE234" s="33">
        <f>IF(AQ234="7",BI234,0)</f>
        <v>0</v>
      </c>
      <c r="AF234" s="33">
        <f>IF(AQ234="2",BH234,0)</f>
        <v>0</v>
      </c>
      <c r="AG234" s="33">
        <f>IF(AQ234="2",BI234,0)</f>
        <v>0</v>
      </c>
      <c r="AH234" s="33">
        <f>IF(AQ234="0",BJ234,0)</f>
        <v>0</v>
      </c>
      <c r="AI234" s="29"/>
      <c r="AJ234" s="16">
        <f>IF(AN234=0,K234,0)</f>
        <v>0</v>
      </c>
      <c r="AK234" s="16">
        <f>IF(AN234=15,K234,0)</f>
        <v>0</v>
      </c>
      <c r="AL234" s="16">
        <f>IF(AN234=21,K234,0)</f>
        <v>0</v>
      </c>
      <c r="AN234" s="33">
        <v>15</v>
      </c>
      <c r="AO234" s="33">
        <f>H234*0</f>
        <v>0</v>
      </c>
      <c r="AP234" s="33">
        <f>H234*(1-0)</f>
        <v>0</v>
      </c>
      <c r="AQ234" s="28" t="s">
        <v>13</v>
      </c>
      <c r="AV234" s="33">
        <f>AW234+AX234</f>
        <v>0</v>
      </c>
      <c r="AW234" s="33">
        <f>G234*AO234</f>
        <v>0</v>
      </c>
      <c r="AX234" s="33">
        <f>G234*AP234</f>
        <v>0</v>
      </c>
      <c r="AY234" s="34" t="s">
        <v>799</v>
      </c>
      <c r="AZ234" s="34" t="s">
        <v>816</v>
      </c>
      <c r="BA234" s="29" t="s">
        <v>820</v>
      </c>
      <c r="BC234" s="33">
        <f>AW234+AX234</f>
        <v>0</v>
      </c>
      <c r="BD234" s="33">
        <f>H234/(100-BE234)*100</f>
        <v>0</v>
      </c>
      <c r="BE234" s="33">
        <v>0</v>
      </c>
      <c r="BF234" s="33">
        <f>234</f>
        <v>234</v>
      </c>
      <c r="BH234" s="16">
        <f>G234*AO234</f>
        <v>0</v>
      </c>
      <c r="BI234" s="16">
        <f>G234*AP234</f>
        <v>0</v>
      </c>
      <c r="BJ234" s="16">
        <f>G234*H234</f>
        <v>0</v>
      </c>
    </row>
    <row r="235" spans="3:7" ht="10.5" customHeight="1">
      <c r="C235" s="153" t="s">
        <v>429</v>
      </c>
      <c r="D235" s="154"/>
      <c r="E235" s="154"/>
      <c r="G235" s="17">
        <v>1</v>
      </c>
    </row>
    <row r="236" spans="1:47" ht="12.75">
      <c r="A236" s="5"/>
      <c r="B236" s="13" t="s">
        <v>265</v>
      </c>
      <c r="C236" s="157" t="s">
        <v>545</v>
      </c>
      <c r="D236" s="158"/>
      <c r="E236" s="158"/>
      <c r="F236" s="5" t="s">
        <v>6</v>
      </c>
      <c r="G236" s="5" t="s">
        <v>6</v>
      </c>
      <c r="H236" s="5" t="s">
        <v>6</v>
      </c>
      <c r="I236" s="36">
        <f>SUM(I237:I258)</f>
        <v>0</v>
      </c>
      <c r="J236" s="36">
        <f>SUM(J237:J258)</f>
        <v>0</v>
      </c>
      <c r="K236" s="36">
        <f>SUM(K237:K258)</f>
        <v>0</v>
      </c>
      <c r="L236" s="29"/>
      <c r="AI236" s="29"/>
      <c r="AS236" s="36">
        <f>SUM(AJ237:AJ258)</f>
        <v>0</v>
      </c>
      <c r="AT236" s="36">
        <f>SUM(AK237:AK258)</f>
        <v>0</v>
      </c>
      <c r="AU236" s="36">
        <f>SUM(AL237:AL258)</f>
        <v>0</v>
      </c>
    </row>
    <row r="237" spans="1:62" ht="12.75">
      <c r="A237" s="4" t="s">
        <v>90</v>
      </c>
      <c r="B237" s="4" t="s">
        <v>266</v>
      </c>
      <c r="C237" s="151" t="s">
        <v>546</v>
      </c>
      <c r="D237" s="152"/>
      <c r="E237" s="152"/>
      <c r="F237" s="4" t="s">
        <v>747</v>
      </c>
      <c r="G237" s="16">
        <v>28.4385</v>
      </c>
      <c r="H237" s="16">
        <v>0</v>
      </c>
      <c r="I237" s="16">
        <f>G237*AO237</f>
        <v>0</v>
      </c>
      <c r="J237" s="16">
        <f>G237*AP237</f>
        <v>0</v>
      </c>
      <c r="K237" s="16">
        <f>G237*H237</f>
        <v>0</v>
      </c>
      <c r="L237" s="28" t="s">
        <v>775</v>
      </c>
      <c r="Z237" s="33">
        <f>IF(AQ237="5",BJ237,0)</f>
        <v>0</v>
      </c>
      <c r="AB237" s="33">
        <f>IF(AQ237="1",BH237,0)</f>
        <v>0</v>
      </c>
      <c r="AC237" s="33">
        <f>IF(AQ237="1",BI237,0)</f>
        <v>0</v>
      </c>
      <c r="AD237" s="33">
        <f>IF(AQ237="7",BH237,0)</f>
        <v>0</v>
      </c>
      <c r="AE237" s="33">
        <f>IF(AQ237="7",BI237,0)</f>
        <v>0</v>
      </c>
      <c r="AF237" s="33">
        <f>IF(AQ237="2",BH237,0)</f>
        <v>0</v>
      </c>
      <c r="AG237" s="33">
        <f>IF(AQ237="2",BI237,0)</f>
        <v>0</v>
      </c>
      <c r="AH237" s="33">
        <f>IF(AQ237="0",BJ237,0)</f>
        <v>0</v>
      </c>
      <c r="AI237" s="29"/>
      <c r="AJ237" s="16">
        <f>IF(AN237=0,K237,0)</f>
        <v>0</v>
      </c>
      <c r="AK237" s="16">
        <f>IF(AN237=15,K237,0)</f>
        <v>0</v>
      </c>
      <c r="AL237" s="16">
        <f>IF(AN237=21,K237,0)</f>
        <v>0</v>
      </c>
      <c r="AN237" s="33">
        <v>15</v>
      </c>
      <c r="AO237" s="33">
        <f>H237*0</f>
        <v>0</v>
      </c>
      <c r="AP237" s="33">
        <f>H237*(1-0)</f>
        <v>0</v>
      </c>
      <c r="AQ237" s="28" t="s">
        <v>13</v>
      </c>
      <c r="AV237" s="33">
        <f>AW237+AX237</f>
        <v>0</v>
      </c>
      <c r="AW237" s="33">
        <f>G237*AO237</f>
        <v>0</v>
      </c>
      <c r="AX237" s="33">
        <f>G237*AP237</f>
        <v>0</v>
      </c>
      <c r="AY237" s="34" t="s">
        <v>800</v>
      </c>
      <c r="AZ237" s="34" t="s">
        <v>817</v>
      </c>
      <c r="BA237" s="29" t="s">
        <v>820</v>
      </c>
      <c r="BC237" s="33">
        <f>AW237+AX237</f>
        <v>0</v>
      </c>
      <c r="BD237" s="33">
        <f>H237/(100-BE237)*100</f>
        <v>0</v>
      </c>
      <c r="BE237" s="33">
        <v>0</v>
      </c>
      <c r="BF237" s="33">
        <f>237</f>
        <v>237</v>
      </c>
      <c r="BH237" s="16">
        <f>G237*AO237</f>
        <v>0</v>
      </c>
      <c r="BI237" s="16">
        <f>G237*AP237</f>
        <v>0</v>
      </c>
      <c r="BJ237" s="16">
        <f>G237*H237</f>
        <v>0</v>
      </c>
    </row>
    <row r="238" spans="3:7" ht="10.5" customHeight="1">
      <c r="C238" s="153" t="s">
        <v>547</v>
      </c>
      <c r="D238" s="154"/>
      <c r="E238" s="154"/>
      <c r="G238" s="17">
        <v>11.277</v>
      </c>
    </row>
    <row r="239" spans="3:7" ht="10.5" customHeight="1">
      <c r="C239" s="153" t="s">
        <v>548</v>
      </c>
      <c r="D239" s="154"/>
      <c r="E239" s="154"/>
      <c r="G239" s="17">
        <v>2.7975</v>
      </c>
    </row>
    <row r="240" spans="3:7" ht="10.5" customHeight="1">
      <c r="C240" s="153" t="s">
        <v>549</v>
      </c>
      <c r="D240" s="154"/>
      <c r="E240" s="154"/>
      <c r="G240" s="17">
        <v>14.364</v>
      </c>
    </row>
    <row r="241" spans="1:62" ht="12.75">
      <c r="A241" s="4" t="s">
        <v>91</v>
      </c>
      <c r="B241" s="4" t="s">
        <v>267</v>
      </c>
      <c r="C241" s="151" t="s">
        <v>550</v>
      </c>
      <c r="D241" s="152"/>
      <c r="E241" s="152"/>
      <c r="F241" s="4" t="s">
        <v>747</v>
      </c>
      <c r="G241" s="16">
        <v>29.9385</v>
      </c>
      <c r="H241" s="16">
        <v>0</v>
      </c>
      <c r="I241" s="16">
        <f>G241*AO241</f>
        <v>0</v>
      </c>
      <c r="J241" s="16">
        <f>G241*AP241</f>
        <v>0</v>
      </c>
      <c r="K241" s="16">
        <f>G241*H241</f>
        <v>0</v>
      </c>
      <c r="L241" s="28" t="s">
        <v>775</v>
      </c>
      <c r="Z241" s="33">
        <f>IF(AQ241="5",BJ241,0)</f>
        <v>0</v>
      </c>
      <c r="AB241" s="33">
        <f>IF(AQ241="1",BH241,0)</f>
        <v>0</v>
      </c>
      <c r="AC241" s="33">
        <f>IF(AQ241="1",BI241,0)</f>
        <v>0</v>
      </c>
      <c r="AD241" s="33">
        <f>IF(AQ241="7",BH241,0)</f>
        <v>0</v>
      </c>
      <c r="AE241" s="33">
        <f>IF(AQ241="7",BI241,0)</f>
        <v>0</v>
      </c>
      <c r="AF241" s="33">
        <f>IF(AQ241="2",BH241,0)</f>
        <v>0</v>
      </c>
      <c r="AG241" s="33">
        <f>IF(AQ241="2",BI241,0)</f>
        <v>0</v>
      </c>
      <c r="AH241" s="33">
        <f>IF(AQ241="0",BJ241,0)</f>
        <v>0</v>
      </c>
      <c r="AI241" s="29"/>
      <c r="AJ241" s="16">
        <f>IF(AN241=0,K241,0)</f>
        <v>0</v>
      </c>
      <c r="AK241" s="16">
        <f>IF(AN241=15,K241,0)</f>
        <v>0</v>
      </c>
      <c r="AL241" s="16">
        <f>IF(AN241=21,K241,0)</f>
        <v>0</v>
      </c>
      <c r="AN241" s="33">
        <v>15</v>
      </c>
      <c r="AO241" s="33">
        <f>H241*0.466666750470499</f>
        <v>0</v>
      </c>
      <c r="AP241" s="33">
        <f>H241*(1-0.466666750470499)</f>
        <v>0</v>
      </c>
      <c r="AQ241" s="28" t="s">
        <v>13</v>
      </c>
      <c r="AV241" s="33">
        <f>AW241+AX241</f>
        <v>0</v>
      </c>
      <c r="AW241" s="33">
        <f>G241*AO241</f>
        <v>0</v>
      </c>
      <c r="AX241" s="33">
        <f>G241*AP241</f>
        <v>0</v>
      </c>
      <c r="AY241" s="34" t="s">
        <v>800</v>
      </c>
      <c r="AZ241" s="34" t="s">
        <v>817</v>
      </c>
      <c r="BA241" s="29" t="s">
        <v>820</v>
      </c>
      <c r="BC241" s="33">
        <f>AW241+AX241</f>
        <v>0</v>
      </c>
      <c r="BD241" s="33">
        <f>H241/(100-BE241)*100</f>
        <v>0</v>
      </c>
      <c r="BE241" s="33">
        <v>0</v>
      </c>
      <c r="BF241" s="33">
        <f>241</f>
        <v>241</v>
      </c>
      <c r="BH241" s="16">
        <f>G241*AO241</f>
        <v>0</v>
      </c>
      <c r="BI241" s="16">
        <f>G241*AP241</f>
        <v>0</v>
      </c>
      <c r="BJ241" s="16">
        <f>G241*H241</f>
        <v>0</v>
      </c>
    </row>
    <row r="242" spans="3:7" ht="10.5" customHeight="1">
      <c r="C242" s="153" t="s">
        <v>551</v>
      </c>
      <c r="D242" s="154"/>
      <c r="E242" s="154"/>
      <c r="G242" s="17">
        <v>28.4385</v>
      </c>
    </row>
    <row r="243" spans="3:7" ht="10.5" customHeight="1">
      <c r="C243" s="153" t="s">
        <v>511</v>
      </c>
      <c r="D243" s="154"/>
      <c r="E243" s="154"/>
      <c r="G243" s="17">
        <v>1.5</v>
      </c>
    </row>
    <row r="244" spans="1:62" ht="12.75">
      <c r="A244" s="4" t="s">
        <v>92</v>
      </c>
      <c r="B244" s="4" t="s">
        <v>268</v>
      </c>
      <c r="C244" s="151" t="s">
        <v>552</v>
      </c>
      <c r="D244" s="152"/>
      <c r="E244" s="152"/>
      <c r="F244" s="4" t="s">
        <v>747</v>
      </c>
      <c r="G244" s="16">
        <v>7.97</v>
      </c>
      <c r="H244" s="16">
        <v>0</v>
      </c>
      <c r="I244" s="16">
        <f>G244*AO244</f>
        <v>0</v>
      </c>
      <c r="J244" s="16">
        <f>G244*AP244</f>
        <v>0</v>
      </c>
      <c r="K244" s="16">
        <f>G244*H244</f>
        <v>0</v>
      </c>
      <c r="L244" s="28" t="s">
        <v>775</v>
      </c>
      <c r="Z244" s="33">
        <f>IF(AQ244="5",BJ244,0)</f>
        <v>0</v>
      </c>
      <c r="AB244" s="33">
        <f>IF(AQ244="1",BH244,0)</f>
        <v>0</v>
      </c>
      <c r="AC244" s="33">
        <f>IF(AQ244="1",BI244,0)</f>
        <v>0</v>
      </c>
      <c r="AD244" s="33">
        <f>IF(AQ244="7",BH244,0)</f>
        <v>0</v>
      </c>
      <c r="AE244" s="33">
        <f>IF(AQ244="7",BI244,0)</f>
        <v>0</v>
      </c>
      <c r="AF244" s="33">
        <f>IF(AQ244="2",BH244,0)</f>
        <v>0</v>
      </c>
      <c r="AG244" s="33">
        <f>IF(AQ244="2",BI244,0)</f>
        <v>0</v>
      </c>
      <c r="AH244" s="33">
        <f>IF(AQ244="0",BJ244,0)</f>
        <v>0</v>
      </c>
      <c r="AI244" s="29"/>
      <c r="AJ244" s="16">
        <f>IF(AN244=0,K244,0)</f>
        <v>0</v>
      </c>
      <c r="AK244" s="16">
        <f>IF(AN244=15,K244,0)</f>
        <v>0</v>
      </c>
      <c r="AL244" s="16">
        <f>IF(AN244=21,K244,0)</f>
        <v>0</v>
      </c>
      <c r="AN244" s="33">
        <v>15</v>
      </c>
      <c r="AO244" s="33">
        <f>H244*0</f>
        <v>0</v>
      </c>
      <c r="AP244" s="33">
        <f>H244*(1-0)</f>
        <v>0</v>
      </c>
      <c r="AQ244" s="28" t="s">
        <v>13</v>
      </c>
      <c r="AV244" s="33">
        <f>AW244+AX244</f>
        <v>0</v>
      </c>
      <c r="AW244" s="33">
        <f>G244*AO244</f>
        <v>0</v>
      </c>
      <c r="AX244" s="33">
        <f>G244*AP244</f>
        <v>0</v>
      </c>
      <c r="AY244" s="34" t="s">
        <v>800</v>
      </c>
      <c r="AZ244" s="34" t="s">
        <v>817</v>
      </c>
      <c r="BA244" s="29" t="s">
        <v>820</v>
      </c>
      <c r="BC244" s="33">
        <f>AW244+AX244</f>
        <v>0</v>
      </c>
      <c r="BD244" s="33">
        <f>H244/(100-BE244)*100</f>
        <v>0</v>
      </c>
      <c r="BE244" s="33">
        <v>0</v>
      </c>
      <c r="BF244" s="33">
        <f>244</f>
        <v>244</v>
      </c>
      <c r="BH244" s="16">
        <f>G244*AO244</f>
        <v>0</v>
      </c>
      <c r="BI244" s="16">
        <f>G244*AP244</f>
        <v>0</v>
      </c>
      <c r="BJ244" s="16">
        <f>G244*H244</f>
        <v>0</v>
      </c>
    </row>
    <row r="245" spans="3:7" ht="10.5" customHeight="1">
      <c r="C245" s="153" t="s">
        <v>553</v>
      </c>
      <c r="D245" s="154"/>
      <c r="E245" s="154"/>
      <c r="G245" s="17">
        <v>2.685</v>
      </c>
    </row>
    <row r="246" spans="3:7" ht="10.5" customHeight="1">
      <c r="C246" s="153" t="s">
        <v>554</v>
      </c>
      <c r="D246" s="154"/>
      <c r="E246" s="154"/>
      <c r="G246" s="17">
        <v>1.865</v>
      </c>
    </row>
    <row r="247" spans="3:7" ht="10.5" customHeight="1">
      <c r="C247" s="153" t="s">
        <v>555</v>
      </c>
      <c r="D247" s="154"/>
      <c r="E247" s="154"/>
      <c r="G247" s="17">
        <v>3.42</v>
      </c>
    </row>
    <row r="248" spans="1:62" ht="12.75">
      <c r="A248" s="4" t="s">
        <v>93</v>
      </c>
      <c r="B248" s="4" t="s">
        <v>269</v>
      </c>
      <c r="C248" s="151" t="s">
        <v>556</v>
      </c>
      <c r="D248" s="152"/>
      <c r="E248" s="152"/>
      <c r="F248" s="4" t="s">
        <v>749</v>
      </c>
      <c r="G248" s="16">
        <v>7.09</v>
      </c>
      <c r="H248" s="16">
        <v>0</v>
      </c>
      <c r="I248" s="16">
        <f>G248*AO248</f>
        <v>0</v>
      </c>
      <c r="J248" s="16">
        <f>G248*AP248</f>
        <v>0</v>
      </c>
      <c r="K248" s="16">
        <f>G248*H248</f>
        <v>0</v>
      </c>
      <c r="L248" s="28" t="s">
        <v>775</v>
      </c>
      <c r="Z248" s="33">
        <f>IF(AQ248="5",BJ248,0)</f>
        <v>0</v>
      </c>
      <c r="AB248" s="33">
        <f>IF(AQ248="1",BH248,0)</f>
        <v>0</v>
      </c>
      <c r="AC248" s="33">
        <f>IF(AQ248="1",BI248,0)</f>
        <v>0</v>
      </c>
      <c r="AD248" s="33">
        <f>IF(AQ248="7",BH248,0)</f>
        <v>0</v>
      </c>
      <c r="AE248" s="33">
        <f>IF(AQ248="7",BI248,0)</f>
        <v>0</v>
      </c>
      <c r="AF248" s="33">
        <f>IF(AQ248="2",BH248,0)</f>
        <v>0</v>
      </c>
      <c r="AG248" s="33">
        <f>IF(AQ248="2",BI248,0)</f>
        <v>0</v>
      </c>
      <c r="AH248" s="33">
        <f>IF(AQ248="0",BJ248,0)</f>
        <v>0</v>
      </c>
      <c r="AI248" s="29"/>
      <c r="AJ248" s="16">
        <f>IF(AN248=0,K248,0)</f>
        <v>0</v>
      </c>
      <c r="AK248" s="16">
        <f>IF(AN248=15,K248,0)</f>
        <v>0</v>
      </c>
      <c r="AL248" s="16">
        <f>IF(AN248=21,K248,0)</f>
        <v>0</v>
      </c>
      <c r="AN248" s="33">
        <v>15</v>
      </c>
      <c r="AO248" s="33">
        <f>H248*0</f>
        <v>0</v>
      </c>
      <c r="AP248" s="33">
        <f>H248*(1-0)</f>
        <v>0</v>
      </c>
      <c r="AQ248" s="28" t="s">
        <v>13</v>
      </c>
      <c r="AV248" s="33">
        <f>AW248+AX248</f>
        <v>0</v>
      </c>
      <c r="AW248" s="33">
        <f>G248*AO248</f>
        <v>0</v>
      </c>
      <c r="AX248" s="33">
        <f>G248*AP248</f>
        <v>0</v>
      </c>
      <c r="AY248" s="34" t="s">
        <v>800</v>
      </c>
      <c r="AZ248" s="34" t="s">
        <v>817</v>
      </c>
      <c r="BA248" s="29" t="s">
        <v>820</v>
      </c>
      <c r="BC248" s="33">
        <f>AW248+AX248</f>
        <v>0</v>
      </c>
      <c r="BD248" s="33">
        <f>H248/(100-BE248)*100</f>
        <v>0</v>
      </c>
      <c r="BE248" s="33">
        <v>0</v>
      </c>
      <c r="BF248" s="33">
        <f>248</f>
        <v>248</v>
      </c>
      <c r="BH248" s="16">
        <f>G248*AO248</f>
        <v>0</v>
      </c>
      <c r="BI248" s="16">
        <f>G248*AP248</f>
        <v>0</v>
      </c>
      <c r="BJ248" s="16">
        <f>G248*H248</f>
        <v>0</v>
      </c>
    </row>
    <row r="249" spans="3:7" ht="10.5" customHeight="1">
      <c r="C249" s="153" t="s">
        <v>557</v>
      </c>
      <c r="D249" s="154"/>
      <c r="E249" s="154"/>
      <c r="G249" s="17">
        <v>2.89</v>
      </c>
    </row>
    <row r="250" spans="3:7" ht="10.5" customHeight="1">
      <c r="C250" s="153" t="s">
        <v>558</v>
      </c>
      <c r="D250" s="154"/>
      <c r="E250" s="154"/>
      <c r="G250" s="17">
        <v>4.2</v>
      </c>
    </row>
    <row r="251" spans="1:62" ht="12.75">
      <c r="A251" s="6" t="s">
        <v>94</v>
      </c>
      <c r="B251" s="6" t="s">
        <v>243</v>
      </c>
      <c r="C251" s="165" t="s">
        <v>559</v>
      </c>
      <c r="D251" s="166"/>
      <c r="E251" s="166"/>
      <c r="F251" s="6" t="s">
        <v>749</v>
      </c>
      <c r="G251" s="18">
        <v>7.799</v>
      </c>
      <c r="H251" s="18">
        <v>0</v>
      </c>
      <c r="I251" s="18">
        <f>G251*AO251</f>
        <v>0</v>
      </c>
      <c r="J251" s="18">
        <f>G251*AP251</f>
        <v>0</v>
      </c>
      <c r="K251" s="18">
        <f>G251*H251</f>
        <v>0</v>
      </c>
      <c r="L251" s="30" t="s">
        <v>775</v>
      </c>
      <c r="Z251" s="33">
        <f>IF(AQ251="5",BJ251,0)</f>
        <v>0</v>
      </c>
      <c r="AB251" s="33">
        <f>IF(AQ251="1",BH251,0)</f>
        <v>0</v>
      </c>
      <c r="AC251" s="33">
        <f>IF(AQ251="1",BI251,0)</f>
        <v>0</v>
      </c>
      <c r="AD251" s="33">
        <f>IF(AQ251="7",BH251,0)</f>
        <v>0</v>
      </c>
      <c r="AE251" s="33">
        <f>IF(AQ251="7",BI251,0)</f>
        <v>0</v>
      </c>
      <c r="AF251" s="33">
        <f>IF(AQ251="2",BH251,0)</f>
        <v>0</v>
      </c>
      <c r="AG251" s="33">
        <f>IF(AQ251="2",BI251,0)</f>
        <v>0</v>
      </c>
      <c r="AH251" s="33">
        <f>IF(AQ251="0",BJ251,0)</f>
        <v>0</v>
      </c>
      <c r="AI251" s="29"/>
      <c r="AJ251" s="18">
        <f>IF(AN251=0,K251,0)</f>
        <v>0</v>
      </c>
      <c r="AK251" s="18">
        <f>IF(AN251=15,K251,0)</f>
        <v>0</v>
      </c>
      <c r="AL251" s="18">
        <f>IF(AN251=21,K251,0)</f>
        <v>0</v>
      </c>
      <c r="AN251" s="33">
        <v>15</v>
      </c>
      <c r="AO251" s="33">
        <f>H251*1</f>
        <v>0</v>
      </c>
      <c r="AP251" s="33">
        <f>H251*(1-1)</f>
        <v>0</v>
      </c>
      <c r="AQ251" s="30" t="s">
        <v>13</v>
      </c>
      <c r="AV251" s="33">
        <f>AW251+AX251</f>
        <v>0</v>
      </c>
      <c r="AW251" s="33">
        <f>G251*AO251</f>
        <v>0</v>
      </c>
      <c r="AX251" s="33">
        <f>G251*AP251</f>
        <v>0</v>
      </c>
      <c r="AY251" s="34" t="s">
        <v>800</v>
      </c>
      <c r="AZ251" s="34" t="s">
        <v>817</v>
      </c>
      <c r="BA251" s="29" t="s">
        <v>820</v>
      </c>
      <c r="BC251" s="33">
        <f>AW251+AX251</f>
        <v>0</v>
      </c>
      <c r="BD251" s="33">
        <f>H251/(100-BE251)*100</f>
        <v>0</v>
      </c>
      <c r="BE251" s="33">
        <v>0</v>
      </c>
      <c r="BF251" s="33">
        <f>251</f>
        <v>251</v>
      </c>
      <c r="BH251" s="18">
        <f>G251*AO251</f>
        <v>0</v>
      </c>
      <c r="BI251" s="18">
        <f>G251*AP251</f>
        <v>0</v>
      </c>
      <c r="BJ251" s="18">
        <f>G251*H251</f>
        <v>0</v>
      </c>
    </row>
    <row r="252" spans="3:7" ht="10.5" customHeight="1">
      <c r="C252" s="153" t="s">
        <v>560</v>
      </c>
      <c r="D252" s="154"/>
      <c r="E252" s="154"/>
      <c r="G252" s="17">
        <v>7.09</v>
      </c>
    </row>
    <row r="253" spans="3:7" ht="10.5" customHeight="1">
      <c r="C253" s="153" t="s">
        <v>561</v>
      </c>
      <c r="D253" s="154"/>
      <c r="E253" s="154"/>
      <c r="G253" s="17">
        <v>0.709</v>
      </c>
    </row>
    <row r="254" spans="1:62" ht="12.75">
      <c r="A254" s="4" t="s">
        <v>95</v>
      </c>
      <c r="B254" s="4" t="s">
        <v>270</v>
      </c>
      <c r="C254" s="151" t="s">
        <v>562</v>
      </c>
      <c r="D254" s="152"/>
      <c r="E254" s="152"/>
      <c r="F254" s="4" t="s">
        <v>749</v>
      </c>
      <c r="G254" s="16">
        <v>5.78</v>
      </c>
      <c r="H254" s="16">
        <v>0</v>
      </c>
      <c r="I254" s="16">
        <f>G254*AO254</f>
        <v>0</v>
      </c>
      <c r="J254" s="16">
        <f>G254*AP254</f>
        <v>0</v>
      </c>
      <c r="K254" s="16">
        <f>G254*H254</f>
        <v>0</v>
      </c>
      <c r="L254" s="28" t="s">
        <v>775</v>
      </c>
      <c r="Z254" s="33">
        <f>IF(AQ254="5",BJ254,0)</f>
        <v>0</v>
      </c>
      <c r="AB254" s="33">
        <f>IF(AQ254="1",BH254,0)</f>
        <v>0</v>
      </c>
      <c r="AC254" s="33">
        <f>IF(AQ254="1",BI254,0)</f>
        <v>0</v>
      </c>
      <c r="AD254" s="33">
        <f>IF(AQ254="7",BH254,0)</f>
        <v>0</v>
      </c>
      <c r="AE254" s="33">
        <f>IF(AQ254="7",BI254,0)</f>
        <v>0</v>
      </c>
      <c r="AF254" s="33">
        <f>IF(AQ254="2",BH254,0)</f>
        <v>0</v>
      </c>
      <c r="AG254" s="33">
        <f>IF(AQ254="2",BI254,0)</f>
        <v>0</v>
      </c>
      <c r="AH254" s="33">
        <f>IF(AQ254="0",BJ254,0)</f>
        <v>0</v>
      </c>
      <c r="AI254" s="29"/>
      <c r="AJ254" s="16">
        <f>IF(AN254=0,K254,0)</f>
        <v>0</v>
      </c>
      <c r="AK254" s="16">
        <f>IF(AN254=15,K254,0)</f>
        <v>0</v>
      </c>
      <c r="AL254" s="16">
        <f>IF(AN254=21,K254,0)</f>
        <v>0</v>
      </c>
      <c r="AN254" s="33">
        <v>15</v>
      </c>
      <c r="AO254" s="33">
        <f>H254*0</f>
        <v>0</v>
      </c>
      <c r="AP254" s="33">
        <f>H254*(1-0)</f>
        <v>0</v>
      </c>
      <c r="AQ254" s="28" t="s">
        <v>13</v>
      </c>
      <c r="AV254" s="33">
        <f>AW254+AX254</f>
        <v>0</v>
      </c>
      <c r="AW254" s="33">
        <f>G254*AO254</f>
        <v>0</v>
      </c>
      <c r="AX254" s="33">
        <f>G254*AP254</f>
        <v>0</v>
      </c>
      <c r="AY254" s="34" t="s">
        <v>800</v>
      </c>
      <c r="AZ254" s="34" t="s">
        <v>817</v>
      </c>
      <c r="BA254" s="29" t="s">
        <v>820</v>
      </c>
      <c r="BC254" s="33">
        <f>AW254+AX254</f>
        <v>0</v>
      </c>
      <c r="BD254" s="33">
        <f>H254/(100-BE254)*100</f>
        <v>0</v>
      </c>
      <c r="BE254" s="33">
        <v>0</v>
      </c>
      <c r="BF254" s="33">
        <f>254</f>
        <v>254</v>
      </c>
      <c r="BH254" s="16">
        <f>G254*AO254</f>
        <v>0</v>
      </c>
      <c r="BI254" s="16">
        <f>G254*AP254</f>
        <v>0</v>
      </c>
      <c r="BJ254" s="16">
        <f>G254*H254</f>
        <v>0</v>
      </c>
    </row>
    <row r="255" spans="3:7" ht="10.5" customHeight="1">
      <c r="C255" s="153" t="s">
        <v>563</v>
      </c>
      <c r="D255" s="154"/>
      <c r="E255" s="154"/>
      <c r="G255" s="17">
        <v>5.78</v>
      </c>
    </row>
    <row r="256" spans="1:62" ht="12.75">
      <c r="A256" s="4" t="s">
        <v>96</v>
      </c>
      <c r="B256" s="4" t="s">
        <v>271</v>
      </c>
      <c r="C256" s="151" t="s">
        <v>564</v>
      </c>
      <c r="D256" s="152"/>
      <c r="E256" s="152"/>
      <c r="F256" s="4" t="s">
        <v>747</v>
      </c>
      <c r="G256" s="16">
        <v>28.45</v>
      </c>
      <c r="H256" s="16">
        <v>0</v>
      </c>
      <c r="I256" s="16">
        <f>G256*AO256</f>
        <v>0</v>
      </c>
      <c r="J256" s="16">
        <f>G256*AP256</f>
        <v>0</v>
      </c>
      <c r="K256" s="16">
        <f>G256*H256</f>
        <v>0</v>
      </c>
      <c r="L256" s="28" t="s">
        <v>775</v>
      </c>
      <c r="Z256" s="33">
        <f>IF(AQ256="5",BJ256,0)</f>
        <v>0</v>
      </c>
      <c r="AB256" s="33">
        <f>IF(AQ256="1",BH256,0)</f>
        <v>0</v>
      </c>
      <c r="AC256" s="33">
        <f>IF(AQ256="1",BI256,0)</f>
        <v>0</v>
      </c>
      <c r="AD256" s="33">
        <f>IF(AQ256="7",BH256,0)</f>
        <v>0</v>
      </c>
      <c r="AE256" s="33">
        <f>IF(AQ256="7",BI256,0)</f>
        <v>0</v>
      </c>
      <c r="AF256" s="33">
        <f>IF(AQ256="2",BH256,0)</f>
        <v>0</v>
      </c>
      <c r="AG256" s="33">
        <f>IF(AQ256="2",BI256,0)</f>
        <v>0</v>
      </c>
      <c r="AH256" s="33">
        <f>IF(AQ256="0",BJ256,0)</f>
        <v>0</v>
      </c>
      <c r="AI256" s="29"/>
      <c r="AJ256" s="16">
        <f>IF(AN256=0,K256,0)</f>
        <v>0</v>
      </c>
      <c r="AK256" s="16">
        <f>IF(AN256=15,K256,0)</f>
        <v>0</v>
      </c>
      <c r="AL256" s="16">
        <f>IF(AN256=21,K256,0)</f>
        <v>0</v>
      </c>
      <c r="AN256" s="33">
        <v>15</v>
      </c>
      <c r="AO256" s="33">
        <f>H256*0</f>
        <v>0</v>
      </c>
      <c r="AP256" s="33">
        <f>H256*(1-0)</f>
        <v>0</v>
      </c>
      <c r="AQ256" s="28" t="s">
        <v>13</v>
      </c>
      <c r="AV256" s="33">
        <f>AW256+AX256</f>
        <v>0</v>
      </c>
      <c r="AW256" s="33">
        <f>G256*AO256</f>
        <v>0</v>
      </c>
      <c r="AX256" s="33">
        <f>G256*AP256</f>
        <v>0</v>
      </c>
      <c r="AY256" s="34" t="s">
        <v>800</v>
      </c>
      <c r="AZ256" s="34" t="s">
        <v>817</v>
      </c>
      <c r="BA256" s="29" t="s">
        <v>820</v>
      </c>
      <c r="BC256" s="33">
        <f>AW256+AX256</f>
        <v>0</v>
      </c>
      <c r="BD256" s="33">
        <f>H256/(100-BE256)*100</f>
        <v>0</v>
      </c>
      <c r="BE256" s="33">
        <v>0</v>
      </c>
      <c r="BF256" s="33">
        <f>256</f>
        <v>256</v>
      </c>
      <c r="BH256" s="16">
        <f>G256*AO256</f>
        <v>0</v>
      </c>
      <c r="BI256" s="16">
        <f>G256*AP256</f>
        <v>0</v>
      </c>
      <c r="BJ256" s="16">
        <f>G256*H256</f>
        <v>0</v>
      </c>
    </row>
    <row r="257" spans="3:7" ht="10.5" customHeight="1">
      <c r="C257" s="153" t="s">
        <v>565</v>
      </c>
      <c r="D257" s="154"/>
      <c r="E257" s="154"/>
      <c r="G257" s="17">
        <v>28.45</v>
      </c>
    </row>
    <row r="258" spans="1:62" ht="12.75">
      <c r="A258" s="6" t="s">
        <v>97</v>
      </c>
      <c r="B258" s="6" t="s">
        <v>243</v>
      </c>
      <c r="C258" s="165" t="s">
        <v>566</v>
      </c>
      <c r="D258" s="166"/>
      <c r="E258" s="166"/>
      <c r="F258" s="6" t="s">
        <v>749</v>
      </c>
      <c r="G258" s="18">
        <v>31.4475</v>
      </c>
      <c r="H258" s="18">
        <v>0</v>
      </c>
      <c r="I258" s="18">
        <f>G258*AO258</f>
        <v>0</v>
      </c>
      <c r="J258" s="18">
        <f>G258*AP258</f>
        <v>0</v>
      </c>
      <c r="K258" s="18">
        <f>G258*H258</f>
        <v>0</v>
      </c>
      <c r="L258" s="30" t="s">
        <v>775</v>
      </c>
      <c r="Z258" s="33">
        <f>IF(AQ258="5",BJ258,0)</f>
        <v>0</v>
      </c>
      <c r="AB258" s="33">
        <f>IF(AQ258="1",BH258,0)</f>
        <v>0</v>
      </c>
      <c r="AC258" s="33">
        <f>IF(AQ258="1",BI258,0)</f>
        <v>0</v>
      </c>
      <c r="AD258" s="33">
        <f>IF(AQ258="7",BH258,0)</f>
        <v>0</v>
      </c>
      <c r="AE258" s="33">
        <f>IF(AQ258="7",BI258,0)</f>
        <v>0</v>
      </c>
      <c r="AF258" s="33">
        <f>IF(AQ258="2",BH258,0)</f>
        <v>0</v>
      </c>
      <c r="AG258" s="33">
        <f>IF(AQ258="2",BI258,0)</f>
        <v>0</v>
      </c>
      <c r="AH258" s="33">
        <f>IF(AQ258="0",BJ258,0)</f>
        <v>0</v>
      </c>
      <c r="AI258" s="29"/>
      <c r="AJ258" s="18">
        <f>IF(AN258=0,K258,0)</f>
        <v>0</v>
      </c>
      <c r="AK258" s="18">
        <f>IF(AN258=15,K258,0)</f>
        <v>0</v>
      </c>
      <c r="AL258" s="18">
        <f>IF(AN258=21,K258,0)</f>
        <v>0</v>
      </c>
      <c r="AN258" s="33">
        <v>15</v>
      </c>
      <c r="AO258" s="33">
        <f>H258*1</f>
        <v>0</v>
      </c>
      <c r="AP258" s="33">
        <f>H258*(1-1)</f>
        <v>0</v>
      </c>
      <c r="AQ258" s="30" t="s">
        <v>13</v>
      </c>
      <c r="AV258" s="33">
        <f>AW258+AX258</f>
        <v>0</v>
      </c>
      <c r="AW258" s="33">
        <f>G258*AO258</f>
        <v>0</v>
      </c>
      <c r="AX258" s="33">
        <f>G258*AP258</f>
        <v>0</v>
      </c>
      <c r="AY258" s="34" t="s">
        <v>800</v>
      </c>
      <c r="AZ258" s="34" t="s">
        <v>817</v>
      </c>
      <c r="BA258" s="29" t="s">
        <v>820</v>
      </c>
      <c r="BC258" s="33">
        <f>AW258+AX258</f>
        <v>0</v>
      </c>
      <c r="BD258" s="33">
        <f>H258/(100-BE258)*100</f>
        <v>0</v>
      </c>
      <c r="BE258" s="33">
        <v>0</v>
      </c>
      <c r="BF258" s="33">
        <f>258</f>
        <v>258</v>
      </c>
      <c r="BH258" s="18">
        <f>G258*AO258</f>
        <v>0</v>
      </c>
      <c r="BI258" s="18">
        <f>G258*AP258</f>
        <v>0</v>
      </c>
      <c r="BJ258" s="18">
        <f>G258*H258</f>
        <v>0</v>
      </c>
    </row>
    <row r="259" spans="3:7" ht="10.5" customHeight="1">
      <c r="C259" s="153" t="s">
        <v>567</v>
      </c>
      <c r="D259" s="154"/>
      <c r="E259" s="154"/>
      <c r="G259" s="17">
        <v>29.95</v>
      </c>
    </row>
    <row r="260" spans="3:7" ht="10.5" customHeight="1">
      <c r="C260" s="153" t="s">
        <v>568</v>
      </c>
      <c r="D260" s="154"/>
      <c r="E260" s="154"/>
      <c r="G260" s="17">
        <v>1.4975</v>
      </c>
    </row>
    <row r="261" spans="1:47" ht="12.75">
      <c r="A261" s="5"/>
      <c r="B261" s="13" t="s">
        <v>272</v>
      </c>
      <c r="C261" s="157" t="s">
        <v>569</v>
      </c>
      <c r="D261" s="158"/>
      <c r="E261" s="158"/>
      <c r="F261" s="5" t="s">
        <v>6</v>
      </c>
      <c r="G261" s="5" t="s">
        <v>6</v>
      </c>
      <c r="H261" s="5" t="s">
        <v>6</v>
      </c>
      <c r="I261" s="36">
        <f>SUM(I262:I272)</f>
        <v>0</v>
      </c>
      <c r="J261" s="36">
        <f>SUM(J262:J272)</f>
        <v>0</v>
      </c>
      <c r="K261" s="36">
        <f>SUM(K262:K272)</f>
        <v>0</v>
      </c>
      <c r="L261" s="29"/>
      <c r="AI261" s="29"/>
      <c r="AS261" s="36">
        <f>SUM(AJ262:AJ272)</f>
        <v>0</v>
      </c>
      <c r="AT261" s="36">
        <f>SUM(AK262:AK272)</f>
        <v>0</v>
      </c>
      <c r="AU261" s="36">
        <f>SUM(AL262:AL272)</f>
        <v>0</v>
      </c>
    </row>
    <row r="262" spans="1:62" ht="12.75">
      <c r="A262" s="4" t="s">
        <v>98</v>
      </c>
      <c r="B262" s="4" t="s">
        <v>273</v>
      </c>
      <c r="C262" s="151" t="s">
        <v>570</v>
      </c>
      <c r="D262" s="152"/>
      <c r="E262" s="152"/>
      <c r="F262" s="4" t="s">
        <v>747</v>
      </c>
      <c r="G262" s="16">
        <v>96.33125</v>
      </c>
      <c r="H262" s="16">
        <v>0</v>
      </c>
      <c r="I262" s="16">
        <f>G262*AO262</f>
        <v>0</v>
      </c>
      <c r="J262" s="16">
        <f>G262*AP262</f>
        <v>0</v>
      </c>
      <c r="K262" s="16">
        <f>G262*H262</f>
        <v>0</v>
      </c>
      <c r="L262" s="28" t="s">
        <v>775</v>
      </c>
      <c r="Z262" s="33">
        <f>IF(AQ262="5",BJ262,0)</f>
        <v>0</v>
      </c>
      <c r="AB262" s="33">
        <f>IF(AQ262="1",BH262,0)</f>
        <v>0</v>
      </c>
      <c r="AC262" s="33">
        <f>IF(AQ262="1",BI262,0)</f>
        <v>0</v>
      </c>
      <c r="AD262" s="33">
        <f>IF(AQ262="7",BH262,0)</f>
        <v>0</v>
      </c>
      <c r="AE262" s="33">
        <f>IF(AQ262="7",BI262,0)</f>
        <v>0</v>
      </c>
      <c r="AF262" s="33">
        <f>IF(AQ262="2",BH262,0)</f>
        <v>0</v>
      </c>
      <c r="AG262" s="33">
        <f>IF(AQ262="2",BI262,0)</f>
        <v>0</v>
      </c>
      <c r="AH262" s="33">
        <f>IF(AQ262="0",BJ262,0)</f>
        <v>0</v>
      </c>
      <c r="AI262" s="29"/>
      <c r="AJ262" s="16">
        <f>IF(AN262=0,K262,0)</f>
        <v>0</v>
      </c>
      <c r="AK262" s="16">
        <f>IF(AN262=15,K262,0)</f>
        <v>0</v>
      </c>
      <c r="AL262" s="16">
        <f>IF(AN262=21,K262,0)</f>
        <v>0</v>
      </c>
      <c r="AN262" s="33">
        <v>15</v>
      </c>
      <c r="AO262" s="33">
        <f>H262*0.00271002778854449</f>
        <v>0</v>
      </c>
      <c r="AP262" s="33">
        <f>H262*(1-0.00271002778854449)</f>
        <v>0</v>
      </c>
      <c r="AQ262" s="28" t="s">
        <v>13</v>
      </c>
      <c r="AV262" s="33">
        <f>AW262+AX262</f>
        <v>0</v>
      </c>
      <c r="AW262" s="33">
        <f>G262*AO262</f>
        <v>0</v>
      </c>
      <c r="AX262" s="33">
        <f>G262*AP262</f>
        <v>0</v>
      </c>
      <c r="AY262" s="34" t="s">
        <v>801</v>
      </c>
      <c r="AZ262" s="34" t="s">
        <v>817</v>
      </c>
      <c r="BA262" s="29" t="s">
        <v>820</v>
      </c>
      <c r="BC262" s="33">
        <f>AW262+AX262</f>
        <v>0</v>
      </c>
      <c r="BD262" s="33">
        <f>H262/(100-BE262)*100</f>
        <v>0</v>
      </c>
      <c r="BE262" s="33">
        <v>0</v>
      </c>
      <c r="BF262" s="33">
        <f>262</f>
        <v>262</v>
      </c>
      <c r="BH262" s="16">
        <f>G262*AO262</f>
        <v>0</v>
      </c>
      <c r="BI262" s="16">
        <f>G262*AP262</f>
        <v>0</v>
      </c>
      <c r="BJ262" s="16">
        <f>G262*H262</f>
        <v>0</v>
      </c>
    </row>
    <row r="263" spans="3:5" ht="12.75">
      <c r="C263" s="155" t="s">
        <v>571</v>
      </c>
      <c r="D263" s="156"/>
      <c r="E263" s="156"/>
    </row>
    <row r="264" spans="3:7" ht="10.5" customHeight="1">
      <c r="C264" s="153" t="s">
        <v>572</v>
      </c>
      <c r="D264" s="154"/>
      <c r="E264" s="154"/>
      <c r="G264" s="17">
        <v>101.79125</v>
      </c>
    </row>
    <row r="265" spans="3:7" ht="10.5" customHeight="1">
      <c r="C265" s="153" t="s">
        <v>408</v>
      </c>
      <c r="D265" s="154"/>
      <c r="E265" s="154"/>
      <c r="G265" s="17">
        <v>-5.46</v>
      </c>
    </row>
    <row r="266" spans="1:62" ht="12.75">
      <c r="A266" s="4" t="s">
        <v>99</v>
      </c>
      <c r="B266" s="4" t="s">
        <v>274</v>
      </c>
      <c r="C266" s="151" t="s">
        <v>573</v>
      </c>
      <c r="D266" s="152"/>
      <c r="E266" s="152"/>
      <c r="F266" s="4" t="s">
        <v>747</v>
      </c>
      <c r="G266" s="16">
        <v>93.31</v>
      </c>
      <c r="H266" s="16">
        <v>0</v>
      </c>
      <c r="I266" s="16">
        <f>G266*AO266</f>
        <v>0</v>
      </c>
      <c r="J266" s="16">
        <f>G266*AP266</f>
        <v>0</v>
      </c>
      <c r="K266" s="16">
        <f>G266*H266</f>
        <v>0</v>
      </c>
      <c r="L266" s="28" t="s">
        <v>775</v>
      </c>
      <c r="Z266" s="33">
        <f>IF(AQ266="5",BJ266,0)</f>
        <v>0</v>
      </c>
      <c r="AB266" s="33">
        <f>IF(AQ266="1",BH266,0)</f>
        <v>0</v>
      </c>
      <c r="AC266" s="33">
        <f>IF(AQ266="1",BI266,0)</f>
        <v>0</v>
      </c>
      <c r="AD266" s="33">
        <f>IF(AQ266="7",BH266,0)</f>
        <v>0</v>
      </c>
      <c r="AE266" s="33">
        <f>IF(AQ266="7",BI266,0)</f>
        <v>0</v>
      </c>
      <c r="AF266" s="33">
        <f>IF(AQ266="2",BH266,0)</f>
        <v>0</v>
      </c>
      <c r="AG266" s="33">
        <f>IF(AQ266="2",BI266,0)</f>
        <v>0</v>
      </c>
      <c r="AH266" s="33">
        <f>IF(AQ266="0",BJ266,0)</f>
        <v>0</v>
      </c>
      <c r="AI266" s="29"/>
      <c r="AJ266" s="16">
        <f>IF(AN266=0,K266,0)</f>
        <v>0</v>
      </c>
      <c r="AK266" s="16">
        <f>IF(AN266=15,K266,0)</f>
        <v>0</v>
      </c>
      <c r="AL266" s="16">
        <f>IF(AN266=21,K266,0)</f>
        <v>0</v>
      </c>
      <c r="AN266" s="33">
        <v>15</v>
      </c>
      <c r="AO266" s="33">
        <f>H266*0.253983595953323</f>
        <v>0</v>
      </c>
      <c r="AP266" s="33">
        <f>H266*(1-0.253983595953323)</f>
        <v>0</v>
      </c>
      <c r="AQ266" s="28" t="s">
        <v>13</v>
      </c>
      <c r="AV266" s="33">
        <f>AW266+AX266</f>
        <v>0</v>
      </c>
      <c r="AW266" s="33">
        <f>G266*AO266</f>
        <v>0</v>
      </c>
      <c r="AX266" s="33">
        <f>G266*AP266</f>
        <v>0</v>
      </c>
      <c r="AY266" s="34" t="s">
        <v>801</v>
      </c>
      <c r="AZ266" s="34" t="s">
        <v>817</v>
      </c>
      <c r="BA266" s="29" t="s">
        <v>820</v>
      </c>
      <c r="BC266" s="33">
        <f>AW266+AX266</f>
        <v>0</v>
      </c>
      <c r="BD266" s="33">
        <f>H266/(100-BE266)*100</f>
        <v>0</v>
      </c>
      <c r="BE266" s="33">
        <v>0</v>
      </c>
      <c r="BF266" s="33">
        <f>266</f>
        <v>266</v>
      </c>
      <c r="BH266" s="16">
        <f>G266*AO266</f>
        <v>0</v>
      </c>
      <c r="BI266" s="16">
        <f>G266*AP266</f>
        <v>0</v>
      </c>
      <c r="BJ266" s="16">
        <f>G266*H266</f>
        <v>0</v>
      </c>
    </row>
    <row r="267" spans="3:7" ht="10.5" customHeight="1">
      <c r="C267" s="153" t="s">
        <v>574</v>
      </c>
      <c r="D267" s="154"/>
      <c r="E267" s="154"/>
      <c r="G267" s="17">
        <v>93.31</v>
      </c>
    </row>
    <row r="268" spans="1:62" ht="12.75">
      <c r="A268" s="4" t="s">
        <v>100</v>
      </c>
      <c r="B268" s="4" t="s">
        <v>275</v>
      </c>
      <c r="C268" s="151" t="s">
        <v>575</v>
      </c>
      <c r="D268" s="152"/>
      <c r="E268" s="152"/>
      <c r="F268" s="4" t="s">
        <v>747</v>
      </c>
      <c r="G268" s="16">
        <v>30.237</v>
      </c>
      <c r="H268" s="16">
        <v>0</v>
      </c>
      <c r="I268" s="16">
        <f>G268*AO268</f>
        <v>0</v>
      </c>
      <c r="J268" s="16">
        <f>G268*AP268</f>
        <v>0</v>
      </c>
      <c r="K268" s="16">
        <f>G268*H268</f>
        <v>0</v>
      </c>
      <c r="L268" s="28" t="s">
        <v>775</v>
      </c>
      <c r="Z268" s="33">
        <f>IF(AQ268="5",BJ268,0)</f>
        <v>0</v>
      </c>
      <c r="AB268" s="33">
        <f>IF(AQ268="1",BH268,0)</f>
        <v>0</v>
      </c>
      <c r="AC268" s="33">
        <f>IF(AQ268="1",BI268,0)</f>
        <v>0</v>
      </c>
      <c r="AD268" s="33">
        <f>IF(AQ268="7",BH268,0)</f>
        <v>0</v>
      </c>
      <c r="AE268" s="33">
        <f>IF(AQ268="7",BI268,0)</f>
        <v>0</v>
      </c>
      <c r="AF268" s="33">
        <f>IF(AQ268="2",BH268,0)</f>
        <v>0</v>
      </c>
      <c r="AG268" s="33">
        <f>IF(AQ268="2",BI268,0)</f>
        <v>0</v>
      </c>
      <c r="AH268" s="33">
        <f>IF(AQ268="0",BJ268,0)</f>
        <v>0</v>
      </c>
      <c r="AI268" s="29"/>
      <c r="AJ268" s="16">
        <f>IF(AN268=0,K268,0)</f>
        <v>0</v>
      </c>
      <c r="AK268" s="16">
        <f>IF(AN268=15,K268,0)</f>
        <v>0</v>
      </c>
      <c r="AL268" s="16">
        <f>IF(AN268=21,K268,0)</f>
        <v>0</v>
      </c>
      <c r="AN268" s="33">
        <v>15</v>
      </c>
      <c r="AO268" s="33">
        <f>H268*0.201966671233815</f>
        <v>0</v>
      </c>
      <c r="AP268" s="33">
        <f>H268*(1-0.201966671233815)</f>
        <v>0</v>
      </c>
      <c r="AQ268" s="28" t="s">
        <v>13</v>
      </c>
      <c r="AV268" s="33">
        <f>AW268+AX268</f>
        <v>0</v>
      </c>
      <c r="AW268" s="33">
        <f>G268*AO268</f>
        <v>0</v>
      </c>
      <c r="AX268" s="33">
        <f>G268*AP268</f>
        <v>0</v>
      </c>
      <c r="AY268" s="34" t="s">
        <v>801</v>
      </c>
      <c r="AZ268" s="34" t="s">
        <v>817</v>
      </c>
      <c r="BA268" s="29" t="s">
        <v>820</v>
      </c>
      <c r="BC268" s="33">
        <f>AW268+AX268</f>
        <v>0</v>
      </c>
      <c r="BD268" s="33">
        <f>H268/(100-BE268)*100</f>
        <v>0</v>
      </c>
      <c r="BE268" s="33">
        <v>0</v>
      </c>
      <c r="BF268" s="33">
        <f>268</f>
        <v>268</v>
      </c>
      <c r="BH268" s="16">
        <f>G268*AO268</f>
        <v>0</v>
      </c>
      <c r="BI268" s="16">
        <f>G268*AP268</f>
        <v>0</v>
      </c>
      <c r="BJ268" s="16">
        <f>G268*H268</f>
        <v>0</v>
      </c>
    </row>
    <row r="269" spans="3:7" ht="10.5" customHeight="1">
      <c r="C269" s="153" t="s">
        <v>576</v>
      </c>
      <c r="D269" s="154"/>
      <c r="E269" s="154"/>
      <c r="G269" s="17">
        <v>30.237</v>
      </c>
    </row>
    <row r="270" spans="1:62" ht="12.75">
      <c r="A270" s="4" t="s">
        <v>101</v>
      </c>
      <c r="B270" s="4" t="s">
        <v>276</v>
      </c>
      <c r="C270" s="151" t="s">
        <v>577</v>
      </c>
      <c r="D270" s="152"/>
      <c r="E270" s="152"/>
      <c r="F270" s="4" t="s">
        <v>747</v>
      </c>
      <c r="G270" s="16">
        <v>185.597</v>
      </c>
      <c r="H270" s="16">
        <v>0</v>
      </c>
      <c r="I270" s="16">
        <f>G270*AO270</f>
        <v>0</v>
      </c>
      <c r="J270" s="16">
        <f>G270*AP270</f>
        <v>0</v>
      </c>
      <c r="K270" s="16">
        <f>G270*H270</f>
        <v>0</v>
      </c>
      <c r="L270" s="28" t="s">
        <v>775</v>
      </c>
      <c r="Z270" s="33">
        <f>IF(AQ270="5",BJ270,0)</f>
        <v>0</v>
      </c>
      <c r="AB270" s="33">
        <f>IF(AQ270="1",BH270,0)</f>
        <v>0</v>
      </c>
      <c r="AC270" s="33">
        <f>IF(AQ270="1",BI270,0)</f>
        <v>0</v>
      </c>
      <c r="AD270" s="33">
        <f>IF(AQ270="7",BH270,0)</f>
        <v>0</v>
      </c>
      <c r="AE270" s="33">
        <f>IF(AQ270="7",BI270,0)</f>
        <v>0</v>
      </c>
      <c r="AF270" s="33">
        <f>IF(AQ270="2",BH270,0)</f>
        <v>0</v>
      </c>
      <c r="AG270" s="33">
        <f>IF(AQ270="2",BI270,0)</f>
        <v>0</v>
      </c>
      <c r="AH270" s="33">
        <f>IF(AQ270="0",BJ270,0)</f>
        <v>0</v>
      </c>
      <c r="AI270" s="29"/>
      <c r="AJ270" s="16">
        <f>IF(AN270=0,K270,0)</f>
        <v>0</v>
      </c>
      <c r="AK270" s="16">
        <f>IF(AN270=15,K270,0)</f>
        <v>0</v>
      </c>
      <c r="AL270" s="16">
        <f>IF(AN270=21,K270,0)</f>
        <v>0</v>
      </c>
      <c r="AN270" s="33">
        <v>15</v>
      </c>
      <c r="AO270" s="33">
        <f>H270*0.0686066560546922</f>
        <v>0</v>
      </c>
      <c r="AP270" s="33">
        <f>H270*(1-0.0686066560546922)</f>
        <v>0</v>
      </c>
      <c r="AQ270" s="28" t="s">
        <v>13</v>
      </c>
      <c r="AV270" s="33">
        <f>AW270+AX270</f>
        <v>0</v>
      </c>
      <c r="AW270" s="33">
        <f>G270*AO270</f>
        <v>0</v>
      </c>
      <c r="AX270" s="33">
        <f>G270*AP270</f>
        <v>0</v>
      </c>
      <c r="AY270" s="34" t="s">
        <v>801</v>
      </c>
      <c r="AZ270" s="34" t="s">
        <v>817</v>
      </c>
      <c r="BA270" s="29" t="s">
        <v>820</v>
      </c>
      <c r="BC270" s="33">
        <f>AW270+AX270</f>
        <v>0</v>
      </c>
      <c r="BD270" s="33">
        <f>H270/(100-BE270)*100</f>
        <v>0</v>
      </c>
      <c r="BE270" s="33">
        <v>0</v>
      </c>
      <c r="BF270" s="33">
        <f>270</f>
        <v>270</v>
      </c>
      <c r="BH270" s="16">
        <f>G270*AO270</f>
        <v>0</v>
      </c>
      <c r="BI270" s="16">
        <f>G270*AP270</f>
        <v>0</v>
      </c>
      <c r="BJ270" s="16">
        <f>G270*H270</f>
        <v>0</v>
      </c>
    </row>
    <row r="271" spans="3:7" ht="10.5" customHeight="1">
      <c r="C271" s="153" t="s">
        <v>578</v>
      </c>
      <c r="D271" s="154"/>
      <c r="E271" s="154"/>
      <c r="G271" s="17">
        <v>185.597</v>
      </c>
    </row>
    <row r="272" spans="1:62" ht="12.75">
      <c r="A272" s="4" t="s">
        <v>102</v>
      </c>
      <c r="B272" s="4" t="s">
        <v>277</v>
      </c>
      <c r="C272" s="151" t="s">
        <v>579</v>
      </c>
      <c r="D272" s="152"/>
      <c r="E272" s="152"/>
      <c r="F272" s="4" t="s">
        <v>752</v>
      </c>
      <c r="G272" s="16">
        <v>1</v>
      </c>
      <c r="H272" s="16">
        <v>0</v>
      </c>
      <c r="I272" s="16">
        <f>G272*AO272</f>
        <v>0</v>
      </c>
      <c r="J272" s="16">
        <f>G272*AP272</f>
        <v>0</v>
      </c>
      <c r="K272" s="16">
        <f>G272*H272</f>
        <v>0</v>
      </c>
      <c r="L272" s="28" t="s">
        <v>775</v>
      </c>
      <c r="Z272" s="33">
        <f>IF(AQ272="5",BJ272,0)</f>
        <v>0</v>
      </c>
      <c r="AB272" s="33">
        <f>IF(AQ272="1",BH272,0)</f>
        <v>0</v>
      </c>
      <c r="AC272" s="33">
        <f>IF(AQ272="1",BI272,0)</f>
        <v>0</v>
      </c>
      <c r="AD272" s="33">
        <f>IF(AQ272="7",BH272,0)</f>
        <v>0</v>
      </c>
      <c r="AE272" s="33">
        <f>IF(AQ272="7",BI272,0)</f>
        <v>0</v>
      </c>
      <c r="AF272" s="33">
        <f>IF(AQ272="2",BH272,0)</f>
        <v>0</v>
      </c>
      <c r="AG272" s="33">
        <f>IF(AQ272="2",BI272,0)</f>
        <v>0</v>
      </c>
      <c r="AH272" s="33">
        <f>IF(AQ272="0",BJ272,0)</f>
        <v>0</v>
      </c>
      <c r="AI272" s="29"/>
      <c r="AJ272" s="16">
        <f>IF(AN272=0,K272,0)</f>
        <v>0</v>
      </c>
      <c r="AK272" s="16">
        <f>IF(AN272=15,K272,0)</f>
        <v>0</v>
      </c>
      <c r="AL272" s="16">
        <f>IF(AN272=21,K272,0)</f>
        <v>0</v>
      </c>
      <c r="AN272" s="33">
        <v>15</v>
      </c>
      <c r="AO272" s="33">
        <f>H272*0.068605</f>
        <v>0</v>
      </c>
      <c r="AP272" s="33">
        <f>H272*(1-0.068605)</f>
        <v>0</v>
      </c>
      <c r="AQ272" s="28" t="s">
        <v>13</v>
      </c>
      <c r="AV272" s="33">
        <f>AW272+AX272</f>
        <v>0</v>
      </c>
      <c r="AW272" s="33">
        <f>G272*AO272</f>
        <v>0</v>
      </c>
      <c r="AX272" s="33">
        <f>G272*AP272</f>
        <v>0</v>
      </c>
      <c r="AY272" s="34" t="s">
        <v>801</v>
      </c>
      <c r="AZ272" s="34" t="s">
        <v>817</v>
      </c>
      <c r="BA272" s="29" t="s">
        <v>820</v>
      </c>
      <c r="BC272" s="33">
        <f>AW272+AX272</f>
        <v>0</v>
      </c>
      <c r="BD272" s="33">
        <f>H272/(100-BE272)*100</f>
        <v>0</v>
      </c>
      <c r="BE272" s="33">
        <v>0</v>
      </c>
      <c r="BF272" s="33">
        <f>272</f>
        <v>272</v>
      </c>
      <c r="BH272" s="16">
        <f>G272*AO272</f>
        <v>0</v>
      </c>
      <c r="BI272" s="16">
        <f>G272*AP272</f>
        <v>0</v>
      </c>
      <c r="BJ272" s="16">
        <f>G272*H272</f>
        <v>0</v>
      </c>
    </row>
    <row r="273" spans="3:7" ht="10.5" customHeight="1">
      <c r="C273" s="153" t="s">
        <v>429</v>
      </c>
      <c r="D273" s="154"/>
      <c r="E273" s="154"/>
      <c r="G273" s="17">
        <v>1</v>
      </c>
    </row>
    <row r="274" spans="1:47" ht="12.75">
      <c r="A274" s="5"/>
      <c r="B274" s="13" t="s">
        <v>96</v>
      </c>
      <c r="C274" s="157" t="s">
        <v>580</v>
      </c>
      <c r="D274" s="158"/>
      <c r="E274" s="158"/>
      <c r="F274" s="5" t="s">
        <v>6</v>
      </c>
      <c r="G274" s="5" t="s">
        <v>6</v>
      </c>
      <c r="H274" s="5" t="s">
        <v>6</v>
      </c>
      <c r="I274" s="36">
        <f>SUM(I275:I296)</f>
        <v>0</v>
      </c>
      <c r="J274" s="36">
        <f>SUM(J275:J296)</f>
        <v>0</v>
      </c>
      <c r="K274" s="36">
        <f>SUM(K275:K296)</f>
        <v>0</v>
      </c>
      <c r="L274" s="29"/>
      <c r="AI274" s="29"/>
      <c r="AS274" s="36">
        <f>SUM(AJ275:AJ296)</f>
        <v>0</v>
      </c>
      <c r="AT274" s="36">
        <f>SUM(AK275:AK296)</f>
        <v>0</v>
      </c>
      <c r="AU274" s="36">
        <f>SUM(AL275:AL296)</f>
        <v>0</v>
      </c>
    </row>
    <row r="275" spans="1:62" ht="12.75">
      <c r="A275" s="4" t="s">
        <v>103</v>
      </c>
      <c r="B275" s="4" t="s">
        <v>278</v>
      </c>
      <c r="C275" s="151" t="s">
        <v>581</v>
      </c>
      <c r="D275" s="152"/>
      <c r="E275" s="152"/>
      <c r="F275" s="4" t="s">
        <v>754</v>
      </c>
      <c r="G275" s="16">
        <v>10</v>
      </c>
      <c r="H275" s="16">
        <v>0</v>
      </c>
      <c r="I275" s="16">
        <f>G275*AO275</f>
        <v>0</v>
      </c>
      <c r="J275" s="16">
        <f>G275*AP275</f>
        <v>0</v>
      </c>
      <c r="K275" s="16">
        <f>G275*H275</f>
        <v>0</v>
      </c>
      <c r="L275" s="28" t="s">
        <v>775</v>
      </c>
      <c r="Z275" s="33">
        <f>IF(AQ275="5",BJ275,0)</f>
        <v>0</v>
      </c>
      <c r="AB275" s="33">
        <f>IF(AQ275="1",BH275,0)</f>
        <v>0</v>
      </c>
      <c r="AC275" s="33">
        <f>IF(AQ275="1",BI275,0)</f>
        <v>0</v>
      </c>
      <c r="AD275" s="33">
        <f>IF(AQ275="7",BH275,0)</f>
        <v>0</v>
      </c>
      <c r="AE275" s="33">
        <f>IF(AQ275="7",BI275,0)</f>
        <v>0</v>
      </c>
      <c r="AF275" s="33">
        <f>IF(AQ275="2",BH275,0)</f>
        <v>0</v>
      </c>
      <c r="AG275" s="33">
        <f>IF(AQ275="2",BI275,0)</f>
        <v>0</v>
      </c>
      <c r="AH275" s="33">
        <f>IF(AQ275="0",BJ275,0)</f>
        <v>0</v>
      </c>
      <c r="AI275" s="29"/>
      <c r="AJ275" s="16">
        <f>IF(AN275=0,K275,0)</f>
        <v>0</v>
      </c>
      <c r="AK275" s="16">
        <f>IF(AN275=15,K275,0)</f>
        <v>0</v>
      </c>
      <c r="AL275" s="16">
        <f>IF(AN275=21,K275,0)</f>
        <v>0</v>
      </c>
      <c r="AN275" s="33">
        <v>15</v>
      </c>
      <c r="AO275" s="33">
        <f>H275*0</f>
        <v>0</v>
      </c>
      <c r="AP275" s="33">
        <f>H275*(1-0)</f>
        <v>0</v>
      </c>
      <c r="AQ275" s="28" t="s">
        <v>7</v>
      </c>
      <c r="AV275" s="33">
        <f>AW275+AX275</f>
        <v>0</v>
      </c>
      <c r="AW275" s="33">
        <f>G275*AO275</f>
        <v>0</v>
      </c>
      <c r="AX275" s="33">
        <f>G275*AP275</f>
        <v>0</v>
      </c>
      <c r="AY275" s="34" t="s">
        <v>802</v>
      </c>
      <c r="AZ275" s="34" t="s">
        <v>818</v>
      </c>
      <c r="BA275" s="29" t="s">
        <v>820</v>
      </c>
      <c r="BC275" s="33">
        <f>AW275+AX275</f>
        <v>0</v>
      </c>
      <c r="BD275" s="33">
        <f>H275/(100-BE275)*100</f>
        <v>0</v>
      </c>
      <c r="BE275" s="33">
        <v>0</v>
      </c>
      <c r="BF275" s="33">
        <f>275</f>
        <v>275</v>
      </c>
      <c r="BH275" s="16">
        <f>G275*AO275</f>
        <v>0</v>
      </c>
      <c r="BI275" s="16">
        <f>G275*AP275</f>
        <v>0</v>
      </c>
      <c r="BJ275" s="16">
        <f>G275*H275</f>
        <v>0</v>
      </c>
    </row>
    <row r="276" spans="3:5" ht="12.75">
      <c r="C276" s="155" t="s">
        <v>582</v>
      </c>
      <c r="D276" s="156"/>
      <c r="E276" s="156"/>
    </row>
    <row r="277" spans="3:7" ht="10.5" customHeight="1">
      <c r="C277" s="153" t="s">
        <v>583</v>
      </c>
      <c r="D277" s="154"/>
      <c r="E277" s="154"/>
      <c r="G277" s="17">
        <v>10</v>
      </c>
    </row>
    <row r="278" spans="1:62" ht="12.75">
      <c r="A278" s="4" t="s">
        <v>104</v>
      </c>
      <c r="B278" s="4" t="s">
        <v>279</v>
      </c>
      <c r="C278" s="151" t="s">
        <v>584</v>
      </c>
      <c r="D278" s="152"/>
      <c r="E278" s="152"/>
      <c r="F278" s="4" t="s">
        <v>754</v>
      </c>
      <c r="G278" s="16">
        <v>10</v>
      </c>
      <c r="H278" s="16">
        <v>0</v>
      </c>
      <c r="I278" s="16">
        <f>G278*AO278</f>
        <v>0</v>
      </c>
      <c r="J278" s="16">
        <f>G278*AP278</f>
        <v>0</v>
      </c>
      <c r="K278" s="16">
        <f>G278*H278</f>
        <v>0</v>
      </c>
      <c r="L278" s="28" t="s">
        <v>775</v>
      </c>
      <c r="Z278" s="33">
        <f>IF(AQ278="5",BJ278,0)</f>
        <v>0</v>
      </c>
      <c r="AB278" s="33">
        <f>IF(AQ278="1",BH278,0)</f>
        <v>0</v>
      </c>
      <c r="AC278" s="33">
        <f>IF(AQ278="1",BI278,0)</f>
        <v>0</v>
      </c>
      <c r="AD278" s="33">
        <f>IF(AQ278="7",BH278,0)</f>
        <v>0</v>
      </c>
      <c r="AE278" s="33">
        <f>IF(AQ278="7",BI278,0)</f>
        <v>0</v>
      </c>
      <c r="AF278" s="33">
        <f>IF(AQ278="2",BH278,0)</f>
        <v>0</v>
      </c>
      <c r="AG278" s="33">
        <f>IF(AQ278="2",BI278,0)</f>
        <v>0</v>
      </c>
      <c r="AH278" s="33">
        <f>IF(AQ278="0",BJ278,0)</f>
        <v>0</v>
      </c>
      <c r="AI278" s="29"/>
      <c r="AJ278" s="16">
        <f>IF(AN278=0,K278,0)</f>
        <v>0</v>
      </c>
      <c r="AK278" s="16">
        <f>IF(AN278=15,K278,0)</f>
        <v>0</v>
      </c>
      <c r="AL278" s="16">
        <f>IF(AN278=21,K278,0)</f>
        <v>0</v>
      </c>
      <c r="AN278" s="33">
        <v>15</v>
      </c>
      <c r="AO278" s="33">
        <f>H278*0</f>
        <v>0</v>
      </c>
      <c r="AP278" s="33">
        <f>H278*(1-0)</f>
        <v>0</v>
      </c>
      <c r="AQ278" s="28" t="s">
        <v>7</v>
      </c>
      <c r="AV278" s="33">
        <f>AW278+AX278</f>
        <v>0</v>
      </c>
      <c r="AW278" s="33">
        <f>G278*AO278</f>
        <v>0</v>
      </c>
      <c r="AX278" s="33">
        <f>G278*AP278</f>
        <v>0</v>
      </c>
      <c r="AY278" s="34" t="s">
        <v>802</v>
      </c>
      <c r="AZ278" s="34" t="s">
        <v>818</v>
      </c>
      <c r="BA278" s="29" t="s">
        <v>820</v>
      </c>
      <c r="BC278" s="33">
        <f>AW278+AX278</f>
        <v>0</v>
      </c>
      <c r="BD278" s="33">
        <f>H278/(100-BE278)*100</f>
        <v>0</v>
      </c>
      <c r="BE278" s="33">
        <v>0</v>
      </c>
      <c r="BF278" s="33">
        <f>278</f>
        <v>278</v>
      </c>
      <c r="BH278" s="16">
        <f>G278*AO278</f>
        <v>0</v>
      </c>
      <c r="BI278" s="16">
        <f>G278*AP278</f>
        <v>0</v>
      </c>
      <c r="BJ278" s="16">
        <f>G278*H278</f>
        <v>0</v>
      </c>
    </row>
    <row r="279" spans="3:5" ht="12.75">
      <c r="C279" s="155" t="s">
        <v>585</v>
      </c>
      <c r="D279" s="156"/>
      <c r="E279" s="156"/>
    </row>
    <row r="280" spans="3:7" ht="10.5" customHeight="1">
      <c r="C280" s="153" t="s">
        <v>583</v>
      </c>
      <c r="D280" s="154"/>
      <c r="E280" s="154"/>
      <c r="G280" s="17">
        <v>10</v>
      </c>
    </row>
    <row r="281" spans="1:62" ht="12.75">
      <c r="A281" s="4" t="s">
        <v>105</v>
      </c>
      <c r="B281" s="4" t="s">
        <v>280</v>
      </c>
      <c r="C281" s="151" t="s">
        <v>586</v>
      </c>
      <c r="D281" s="152"/>
      <c r="E281" s="152"/>
      <c r="F281" s="4" t="s">
        <v>754</v>
      </c>
      <c r="G281" s="16">
        <v>5</v>
      </c>
      <c r="H281" s="16">
        <v>0</v>
      </c>
      <c r="I281" s="16">
        <f>G281*AO281</f>
        <v>0</v>
      </c>
      <c r="J281" s="16">
        <f>G281*AP281</f>
        <v>0</v>
      </c>
      <c r="K281" s="16">
        <f>G281*H281</f>
        <v>0</v>
      </c>
      <c r="L281" s="28" t="s">
        <v>775</v>
      </c>
      <c r="Z281" s="33">
        <f>IF(AQ281="5",BJ281,0)</f>
        <v>0</v>
      </c>
      <c r="AB281" s="33">
        <f>IF(AQ281="1",BH281,0)</f>
        <v>0</v>
      </c>
      <c r="AC281" s="33">
        <f>IF(AQ281="1",BI281,0)</f>
        <v>0</v>
      </c>
      <c r="AD281" s="33">
        <f>IF(AQ281="7",BH281,0)</f>
        <v>0</v>
      </c>
      <c r="AE281" s="33">
        <f>IF(AQ281="7",BI281,0)</f>
        <v>0</v>
      </c>
      <c r="AF281" s="33">
        <f>IF(AQ281="2",BH281,0)</f>
        <v>0</v>
      </c>
      <c r="AG281" s="33">
        <f>IF(AQ281="2",BI281,0)</f>
        <v>0</v>
      </c>
      <c r="AH281" s="33">
        <f>IF(AQ281="0",BJ281,0)</f>
        <v>0</v>
      </c>
      <c r="AI281" s="29"/>
      <c r="AJ281" s="16">
        <f>IF(AN281=0,K281,0)</f>
        <v>0</v>
      </c>
      <c r="AK281" s="16">
        <f>IF(AN281=15,K281,0)</f>
        <v>0</v>
      </c>
      <c r="AL281" s="16">
        <f>IF(AN281=21,K281,0)</f>
        <v>0</v>
      </c>
      <c r="AN281" s="33">
        <v>15</v>
      </c>
      <c r="AO281" s="33">
        <f>H281*0</f>
        <v>0</v>
      </c>
      <c r="AP281" s="33">
        <f>H281*(1-0)</f>
        <v>0</v>
      </c>
      <c r="AQ281" s="28" t="s">
        <v>7</v>
      </c>
      <c r="AV281" s="33">
        <f>AW281+AX281</f>
        <v>0</v>
      </c>
      <c r="AW281" s="33">
        <f>G281*AO281</f>
        <v>0</v>
      </c>
      <c r="AX281" s="33">
        <f>G281*AP281</f>
        <v>0</v>
      </c>
      <c r="AY281" s="34" t="s">
        <v>802</v>
      </c>
      <c r="AZ281" s="34" t="s">
        <v>818</v>
      </c>
      <c r="BA281" s="29" t="s">
        <v>820</v>
      </c>
      <c r="BC281" s="33">
        <f>AW281+AX281</f>
        <v>0</v>
      </c>
      <c r="BD281" s="33">
        <f>H281/(100-BE281)*100</f>
        <v>0</v>
      </c>
      <c r="BE281" s="33">
        <v>0</v>
      </c>
      <c r="BF281" s="33">
        <f>281</f>
        <v>281</v>
      </c>
      <c r="BH281" s="16">
        <f>G281*AO281</f>
        <v>0</v>
      </c>
      <c r="BI281" s="16">
        <f>G281*AP281</f>
        <v>0</v>
      </c>
      <c r="BJ281" s="16">
        <f>G281*H281</f>
        <v>0</v>
      </c>
    </row>
    <row r="282" spans="3:5" ht="12.75">
      <c r="C282" s="155" t="s">
        <v>587</v>
      </c>
      <c r="D282" s="156"/>
      <c r="E282" s="156"/>
    </row>
    <row r="283" spans="3:7" ht="10.5" customHeight="1">
      <c r="C283" s="153" t="s">
        <v>458</v>
      </c>
      <c r="D283" s="154"/>
      <c r="E283" s="154"/>
      <c r="G283" s="17">
        <v>5</v>
      </c>
    </row>
    <row r="284" spans="1:62" ht="12.75">
      <c r="A284" s="4" t="s">
        <v>106</v>
      </c>
      <c r="B284" s="4" t="s">
        <v>281</v>
      </c>
      <c r="C284" s="151" t="s">
        <v>584</v>
      </c>
      <c r="D284" s="152"/>
      <c r="E284" s="152"/>
      <c r="F284" s="4" t="s">
        <v>754</v>
      </c>
      <c r="G284" s="16">
        <v>3</v>
      </c>
      <c r="H284" s="16">
        <v>0</v>
      </c>
      <c r="I284" s="16">
        <f>G284*AO284</f>
        <v>0</v>
      </c>
      <c r="J284" s="16">
        <f>G284*AP284</f>
        <v>0</v>
      </c>
      <c r="K284" s="16">
        <f>G284*H284</f>
        <v>0</v>
      </c>
      <c r="L284" s="28" t="s">
        <v>775</v>
      </c>
      <c r="Z284" s="33">
        <f>IF(AQ284="5",BJ284,0)</f>
        <v>0</v>
      </c>
      <c r="AB284" s="33">
        <f>IF(AQ284="1",BH284,0)</f>
        <v>0</v>
      </c>
      <c r="AC284" s="33">
        <f>IF(AQ284="1",BI284,0)</f>
        <v>0</v>
      </c>
      <c r="AD284" s="33">
        <f>IF(AQ284="7",BH284,0)</f>
        <v>0</v>
      </c>
      <c r="AE284" s="33">
        <f>IF(AQ284="7",BI284,0)</f>
        <v>0</v>
      </c>
      <c r="AF284" s="33">
        <f>IF(AQ284="2",BH284,0)</f>
        <v>0</v>
      </c>
      <c r="AG284" s="33">
        <f>IF(AQ284="2",BI284,0)</f>
        <v>0</v>
      </c>
      <c r="AH284" s="33">
        <f>IF(AQ284="0",BJ284,0)</f>
        <v>0</v>
      </c>
      <c r="AI284" s="29"/>
      <c r="AJ284" s="16">
        <f>IF(AN284=0,K284,0)</f>
        <v>0</v>
      </c>
      <c r="AK284" s="16">
        <f>IF(AN284=15,K284,0)</f>
        <v>0</v>
      </c>
      <c r="AL284" s="16">
        <f>IF(AN284=21,K284,0)</f>
        <v>0</v>
      </c>
      <c r="AN284" s="33">
        <v>15</v>
      </c>
      <c r="AO284" s="33">
        <f>H284*0</f>
        <v>0</v>
      </c>
      <c r="AP284" s="33">
        <f>H284*(1-0)</f>
        <v>0</v>
      </c>
      <c r="AQ284" s="28" t="s">
        <v>7</v>
      </c>
      <c r="AV284" s="33">
        <f>AW284+AX284</f>
        <v>0</v>
      </c>
      <c r="AW284" s="33">
        <f>G284*AO284</f>
        <v>0</v>
      </c>
      <c r="AX284" s="33">
        <f>G284*AP284</f>
        <v>0</v>
      </c>
      <c r="AY284" s="34" t="s">
        <v>802</v>
      </c>
      <c r="AZ284" s="34" t="s">
        <v>818</v>
      </c>
      <c r="BA284" s="29" t="s">
        <v>820</v>
      </c>
      <c r="BC284" s="33">
        <f>AW284+AX284</f>
        <v>0</v>
      </c>
      <c r="BD284" s="33">
        <f>H284/(100-BE284)*100</f>
        <v>0</v>
      </c>
      <c r="BE284" s="33">
        <v>0</v>
      </c>
      <c r="BF284" s="33">
        <f>284</f>
        <v>284</v>
      </c>
      <c r="BH284" s="16">
        <f>G284*AO284</f>
        <v>0</v>
      </c>
      <c r="BI284" s="16">
        <f>G284*AP284</f>
        <v>0</v>
      </c>
      <c r="BJ284" s="16">
        <f>G284*H284</f>
        <v>0</v>
      </c>
    </row>
    <row r="285" spans="3:5" ht="12.75">
      <c r="C285" s="155" t="s">
        <v>588</v>
      </c>
      <c r="D285" s="156"/>
      <c r="E285" s="156"/>
    </row>
    <row r="286" spans="3:7" ht="10.5" customHeight="1">
      <c r="C286" s="153" t="s">
        <v>469</v>
      </c>
      <c r="D286" s="154"/>
      <c r="E286" s="154"/>
      <c r="G286" s="17">
        <v>3</v>
      </c>
    </row>
    <row r="287" spans="1:62" ht="12.75">
      <c r="A287" s="4" t="s">
        <v>107</v>
      </c>
      <c r="B287" s="4" t="s">
        <v>279</v>
      </c>
      <c r="C287" s="151" t="s">
        <v>584</v>
      </c>
      <c r="D287" s="152"/>
      <c r="E287" s="152"/>
      <c r="F287" s="4" t="s">
        <v>754</v>
      </c>
      <c r="G287" s="16">
        <v>5</v>
      </c>
      <c r="H287" s="16">
        <v>0</v>
      </c>
      <c r="I287" s="16">
        <f>G287*AO287</f>
        <v>0</v>
      </c>
      <c r="J287" s="16">
        <f>G287*AP287</f>
        <v>0</v>
      </c>
      <c r="K287" s="16">
        <f>G287*H287</f>
        <v>0</v>
      </c>
      <c r="L287" s="28" t="s">
        <v>775</v>
      </c>
      <c r="Z287" s="33">
        <f>IF(AQ287="5",BJ287,0)</f>
        <v>0</v>
      </c>
      <c r="AB287" s="33">
        <f>IF(AQ287="1",BH287,0)</f>
        <v>0</v>
      </c>
      <c r="AC287" s="33">
        <f>IF(AQ287="1",BI287,0)</f>
        <v>0</v>
      </c>
      <c r="AD287" s="33">
        <f>IF(AQ287="7",BH287,0)</f>
        <v>0</v>
      </c>
      <c r="AE287" s="33">
        <f>IF(AQ287="7",BI287,0)</f>
        <v>0</v>
      </c>
      <c r="AF287" s="33">
        <f>IF(AQ287="2",BH287,0)</f>
        <v>0</v>
      </c>
      <c r="AG287" s="33">
        <f>IF(AQ287="2",BI287,0)</f>
        <v>0</v>
      </c>
      <c r="AH287" s="33">
        <f>IF(AQ287="0",BJ287,0)</f>
        <v>0</v>
      </c>
      <c r="AI287" s="29"/>
      <c r="AJ287" s="16">
        <f>IF(AN287=0,K287,0)</f>
        <v>0</v>
      </c>
      <c r="AK287" s="16">
        <f>IF(AN287=15,K287,0)</f>
        <v>0</v>
      </c>
      <c r="AL287" s="16">
        <f>IF(AN287=21,K287,0)</f>
        <v>0</v>
      </c>
      <c r="AN287" s="33">
        <v>15</v>
      </c>
      <c r="AO287" s="33">
        <f>H287*0</f>
        <v>0</v>
      </c>
      <c r="AP287" s="33">
        <f>H287*(1-0)</f>
        <v>0</v>
      </c>
      <c r="AQ287" s="28" t="s">
        <v>7</v>
      </c>
      <c r="AV287" s="33">
        <f>AW287+AX287</f>
        <v>0</v>
      </c>
      <c r="AW287" s="33">
        <f>G287*AO287</f>
        <v>0</v>
      </c>
      <c r="AX287" s="33">
        <f>G287*AP287</f>
        <v>0</v>
      </c>
      <c r="AY287" s="34" t="s">
        <v>802</v>
      </c>
      <c r="AZ287" s="34" t="s">
        <v>818</v>
      </c>
      <c r="BA287" s="29" t="s">
        <v>820</v>
      </c>
      <c r="BC287" s="33">
        <f>AW287+AX287</f>
        <v>0</v>
      </c>
      <c r="BD287" s="33">
        <f>H287/(100-BE287)*100</f>
        <v>0</v>
      </c>
      <c r="BE287" s="33">
        <v>0</v>
      </c>
      <c r="BF287" s="33">
        <f>287</f>
        <v>287</v>
      </c>
      <c r="BH287" s="16">
        <f>G287*AO287</f>
        <v>0</v>
      </c>
      <c r="BI287" s="16">
        <f>G287*AP287</f>
        <v>0</v>
      </c>
      <c r="BJ287" s="16">
        <f>G287*H287</f>
        <v>0</v>
      </c>
    </row>
    <row r="288" spans="3:5" ht="12.75">
      <c r="C288" s="155" t="s">
        <v>589</v>
      </c>
      <c r="D288" s="156"/>
      <c r="E288" s="156"/>
    </row>
    <row r="289" spans="3:7" ht="10.5" customHeight="1">
      <c r="C289" s="153" t="s">
        <v>458</v>
      </c>
      <c r="D289" s="154"/>
      <c r="E289" s="154"/>
      <c r="G289" s="17">
        <v>5</v>
      </c>
    </row>
    <row r="290" spans="1:62" ht="12.75">
      <c r="A290" s="4" t="s">
        <v>108</v>
      </c>
      <c r="B290" s="4" t="s">
        <v>282</v>
      </c>
      <c r="C290" s="151" t="s">
        <v>590</v>
      </c>
      <c r="D290" s="152"/>
      <c r="E290" s="152"/>
      <c r="F290" s="4" t="s">
        <v>754</v>
      </c>
      <c r="G290" s="16">
        <v>10</v>
      </c>
      <c r="H290" s="16">
        <v>0</v>
      </c>
      <c r="I290" s="16">
        <f>G290*AO290</f>
        <v>0</v>
      </c>
      <c r="J290" s="16">
        <f>G290*AP290</f>
        <v>0</v>
      </c>
      <c r="K290" s="16">
        <f>G290*H290</f>
        <v>0</v>
      </c>
      <c r="L290" s="28" t="s">
        <v>775</v>
      </c>
      <c r="Z290" s="33">
        <f>IF(AQ290="5",BJ290,0)</f>
        <v>0</v>
      </c>
      <c r="AB290" s="33">
        <f>IF(AQ290="1",BH290,0)</f>
        <v>0</v>
      </c>
      <c r="AC290" s="33">
        <f>IF(AQ290="1",BI290,0)</f>
        <v>0</v>
      </c>
      <c r="AD290" s="33">
        <f>IF(AQ290="7",BH290,0)</f>
        <v>0</v>
      </c>
      <c r="AE290" s="33">
        <f>IF(AQ290="7",BI290,0)</f>
        <v>0</v>
      </c>
      <c r="AF290" s="33">
        <f>IF(AQ290="2",BH290,0)</f>
        <v>0</v>
      </c>
      <c r="AG290" s="33">
        <f>IF(AQ290="2",BI290,0)</f>
        <v>0</v>
      </c>
      <c r="AH290" s="33">
        <f>IF(AQ290="0",BJ290,0)</f>
        <v>0</v>
      </c>
      <c r="AI290" s="29"/>
      <c r="AJ290" s="16">
        <f>IF(AN290=0,K290,0)</f>
        <v>0</v>
      </c>
      <c r="AK290" s="16">
        <f>IF(AN290=15,K290,0)</f>
        <v>0</v>
      </c>
      <c r="AL290" s="16">
        <f>IF(AN290=21,K290,0)</f>
        <v>0</v>
      </c>
      <c r="AN290" s="33">
        <v>15</v>
      </c>
      <c r="AO290" s="33">
        <f>H290*0</f>
        <v>0</v>
      </c>
      <c r="AP290" s="33">
        <f>H290*(1-0)</f>
        <v>0</v>
      </c>
      <c r="AQ290" s="28" t="s">
        <v>7</v>
      </c>
      <c r="AV290" s="33">
        <f>AW290+AX290</f>
        <v>0</v>
      </c>
      <c r="AW290" s="33">
        <f>G290*AO290</f>
        <v>0</v>
      </c>
      <c r="AX290" s="33">
        <f>G290*AP290</f>
        <v>0</v>
      </c>
      <c r="AY290" s="34" t="s">
        <v>802</v>
      </c>
      <c r="AZ290" s="34" t="s">
        <v>818</v>
      </c>
      <c r="BA290" s="29" t="s">
        <v>820</v>
      </c>
      <c r="BC290" s="33">
        <f>AW290+AX290</f>
        <v>0</v>
      </c>
      <c r="BD290" s="33">
        <f>H290/(100-BE290)*100</f>
        <v>0</v>
      </c>
      <c r="BE290" s="33">
        <v>0</v>
      </c>
      <c r="BF290" s="33">
        <f>290</f>
        <v>290</v>
      </c>
      <c r="BH290" s="16">
        <f>G290*AO290</f>
        <v>0</v>
      </c>
      <c r="BI290" s="16">
        <f>G290*AP290</f>
        <v>0</v>
      </c>
      <c r="BJ290" s="16">
        <f>G290*H290</f>
        <v>0</v>
      </c>
    </row>
    <row r="291" spans="3:5" ht="12.75">
      <c r="C291" s="155" t="s">
        <v>591</v>
      </c>
      <c r="D291" s="156"/>
      <c r="E291" s="156"/>
    </row>
    <row r="292" spans="3:7" ht="10.5" customHeight="1">
      <c r="C292" s="153" t="s">
        <v>583</v>
      </c>
      <c r="D292" s="154"/>
      <c r="E292" s="154"/>
      <c r="G292" s="17">
        <v>10</v>
      </c>
    </row>
    <row r="293" spans="1:62" ht="12.75">
      <c r="A293" s="4" t="s">
        <v>109</v>
      </c>
      <c r="B293" s="4" t="s">
        <v>283</v>
      </c>
      <c r="C293" s="151" t="s">
        <v>592</v>
      </c>
      <c r="D293" s="152"/>
      <c r="E293" s="152"/>
      <c r="F293" s="4" t="s">
        <v>754</v>
      </c>
      <c r="G293" s="16">
        <v>20</v>
      </c>
      <c r="H293" s="16">
        <v>0</v>
      </c>
      <c r="I293" s="16">
        <f>G293*AO293</f>
        <v>0</v>
      </c>
      <c r="J293" s="16">
        <f>G293*AP293</f>
        <v>0</v>
      </c>
      <c r="K293" s="16">
        <f>G293*H293</f>
        <v>0</v>
      </c>
      <c r="L293" s="28" t="s">
        <v>775</v>
      </c>
      <c r="Z293" s="33">
        <f>IF(AQ293="5",BJ293,0)</f>
        <v>0</v>
      </c>
      <c r="AB293" s="33">
        <f>IF(AQ293="1",BH293,0)</f>
        <v>0</v>
      </c>
      <c r="AC293" s="33">
        <f>IF(AQ293="1",BI293,0)</f>
        <v>0</v>
      </c>
      <c r="AD293" s="33">
        <f>IF(AQ293="7",BH293,0)</f>
        <v>0</v>
      </c>
      <c r="AE293" s="33">
        <f>IF(AQ293="7",BI293,0)</f>
        <v>0</v>
      </c>
      <c r="AF293" s="33">
        <f>IF(AQ293="2",BH293,0)</f>
        <v>0</v>
      </c>
      <c r="AG293" s="33">
        <f>IF(AQ293="2",BI293,0)</f>
        <v>0</v>
      </c>
      <c r="AH293" s="33">
        <f>IF(AQ293="0",BJ293,0)</f>
        <v>0</v>
      </c>
      <c r="AI293" s="29"/>
      <c r="AJ293" s="16">
        <f>IF(AN293=0,K293,0)</f>
        <v>0</v>
      </c>
      <c r="AK293" s="16">
        <f>IF(AN293=15,K293,0)</f>
        <v>0</v>
      </c>
      <c r="AL293" s="16">
        <f>IF(AN293=21,K293,0)</f>
        <v>0</v>
      </c>
      <c r="AN293" s="33">
        <v>15</v>
      </c>
      <c r="AO293" s="33">
        <f>H293*0</f>
        <v>0</v>
      </c>
      <c r="AP293" s="33">
        <f>H293*(1-0)</f>
        <v>0</v>
      </c>
      <c r="AQ293" s="28" t="s">
        <v>7</v>
      </c>
      <c r="AV293" s="33">
        <f>AW293+AX293</f>
        <v>0</v>
      </c>
      <c r="AW293" s="33">
        <f>G293*AO293</f>
        <v>0</v>
      </c>
      <c r="AX293" s="33">
        <f>G293*AP293</f>
        <v>0</v>
      </c>
      <c r="AY293" s="34" t="s">
        <v>802</v>
      </c>
      <c r="AZ293" s="34" t="s">
        <v>818</v>
      </c>
      <c r="BA293" s="29" t="s">
        <v>820</v>
      </c>
      <c r="BC293" s="33">
        <f>AW293+AX293</f>
        <v>0</v>
      </c>
      <c r="BD293" s="33">
        <f>H293/(100-BE293)*100</f>
        <v>0</v>
      </c>
      <c r="BE293" s="33">
        <v>0</v>
      </c>
      <c r="BF293" s="33">
        <f>293</f>
        <v>293</v>
      </c>
      <c r="BH293" s="16">
        <f>G293*AO293</f>
        <v>0</v>
      </c>
      <c r="BI293" s="16">
        <f>G293*AP293</f>
        <v>0</v>
      </c>
      <c r="BJ293" s="16">
        <f>G293*H293</f>
        <v>0</v>
      </c>
    </row>
    <row r="294" spans="3:5" ht="12.75">
      <c r="C294" s="155" t="s">
        <v>593</v>
      </c>
      <c r="D294" s="156"/>
      <c r="E294" s="156"/>
    </row>
    <row r="295" spans="3:7" ht="10.5" customHeight="1">
      <c r="C295" s="153" t="s">
        <v>594</v>
      </c>
      <c r="D295" s="154"/>
      <c r="E295" s="154"/>
      <c r="G295" s="17">
        <v>20</v>
      </c>
    </row>
    <row r="296" spans="1:62" ht="12.75">
      <c r="A296" s="4" t="s">
        <v>110</v>
      </c>
      <c r="B296" s="4" t="s">
        <v>284</v>
      </c>
      <c r="C296" s="151" t="s">
        <v>592</v>
      </c>
      <c r="D296" s="152"/>
      <c r="E296" s="152"/>
      <c r="F296" s="4" t="s">
        <v>754</v>
      </c>
      <c r="G296" s="16">
        <v>12</v>
      </c>
      <c r="H296" s="16">
        <v>0</v>
      </c>
      <c r="I296" s="16">
        <f>G296*AO296</f>
        <v>0</v>
      </c>
      <c r="J296" s="16">
        <f>G296*AP296</f>
        <v>0</v>
      </c>
      <c r="K296" s="16">
        <f>G296*H296</f>
        <v>0</v>
      </c>
      <c r="L296" s="28" t="s">
        <v>775</v>
      </c>
      <c r="Z296" s="33">
        <f>IF(AQ296="5",BJ296,0)</f>
        <v>0</v>
      </c>
      <c r="AB296" s="33">
        <f>IF(AQ296="1",BH296,0)</f>
        <v>0</v>
      </c>
      <c r="AC296" s="33">
        <f>IF(AQ296="1",BI296,0)</f>
        <v>0</v>
      </c>
      <c r="AD296" s="33">
        <f>IF(AQ296="7",BH296,0)</f>
        <v>0</v>
      </c>
      <c r="AE296" s="33">
        <f>IF(AQ296="7",BI296,0)</f>
        <v>0</v>
      </c>
      <c r="AF296" s="33">
        <f>IF(AQ296="2",BH296,0)</f>
        <v>0</v>
      </c>
      <c r="AG296" s="33">
        <f>IF(AQ296="2",BI296,0)</f>
        <v>0</v>
      </c>
      <c r="AH296" s="33">
        <f>IF(AQ296="0",BJ296,0)</f>
        <v>0</v>
      </c>
      <c r="AI296" s="29"/>
      <c r="AJ296" s="16">
        <f>IF(AN296=0,K296,0)</f>
        <v>0</v>
      </c>
      <c r="AK296" s="16">
        <f>IF(AN296=15,K296,0)</f>
        <v>0</v>
      </c>
      <c r="AL296" s="16">
        <f>IF(AN296=21,K296,0)</f>
        <v>0</v>
      </c>
      <c r="AN296" s="33">
        <v>15</v>
      </c>
      <c r="AO296" s="33">
        <f>H296*0</f>
        <v>0</v>
      </c>
      <c r="AP296" s="33">
        <f>H296*(1-0)</f>
        <v>0</v>
      </c>
      <c r="AQ296" s="28" t="s">
        <v>7</v>
      </c>
      <c r="AV296" s="33">
        <f>AW296+AX296</f>
        <v>0</v>
      </c>
      <c r="AW296" s="33">
        <f>G296*AO296</f>
        <v>0</v>
      </c>
      <c r="AX296" s="33">
        <f>G296*AP296</f>
        <v>0</v>
      </c>
      <c r="AY296" s="34" t="s">
        <v>802</v>
      </c>
      <c r="AZ296" s="34" t="s">
        <v>818</v>
      </c>
      <c r="BA296" s="29" t="s">
        <v>820</v>
      </c>
      <c r="BC296" s="33">
        <f>AW296+AX296</f>
        <v>0</v>
      </c>
      <c r="BD296" s="33">
        <f>H296/(100-BE296)*100</f>
        <v>0</v>
      </c>
      <c r="BE296" s="33">
        <v>0</v>
      </c>
      <c r="BF296" s="33">
        <f>296</f>
        <v>296</v>
      </c>
      <c r="BH296" s="16">
        <f>G296*AO296</f>
        <v>0</v>
      </c>
      <c r="BI296" s="16">
        <f>G296*AP296</f>
        <v>0</v>
      </c>
      <c r="BJ296" s="16">
        <f>G296*H296</f>
        <v>0</v>
      </c>
    </row>
    <row r="297" spans="3:5" ht="12.75">
      <c r="C297" s="155" t="s">
        <v>595</v>
      </c>
      <c r="D297" s="156"/>
      <c r="E297" s="156"/>
    </row>
    <row r="298" spans="3:7" ht="10.5" customHeight="1">
      <c r="C298" s="153" t="s">
        <v>596</v>
      </c>
      <c r="D298" s="154"/>
      <c r="E298" s="154"/>
      <c r="G298" s="17">
        <v>12</v>
      </c>
    </row>
    <row r="299" spans="1:47" ht="12.75">
      <c r="A299" s="5"/>
      <c r="B299" s="13" t="s">
        <v>100</v>
      </c>
      <c r="C299" s="157" t="s">
        <v>597</v>
      </c>
      <c r="D299" s="158"/>
      <c r="E299" s="158"/>
      <c r="F299" s="5" t="s">
        <v>6</v>
      </c>
      <c r="G299" s="5" t="s">
        <v>6</v>
      </c>
      <c r="H299" s="5" t="s">
        <v>6</v>
      </c>
      <c r="I299" s="36">
        <f>SUM(I300:I300)</f>
        <v>0</v>
      </c>
      <c r="J299" s="36">
        <f>SUM(J300:J300)</f>
        <v>0</v>
      </c>
      <c r="K299" s="36">
        <f>SUM(K300:K300)</f>
        <v>0</v>
      </c>
      <c r="L299" s="29"/>
      <c r="AI299" s="29"/>
      <c r="AS299" s="36">
        <f>SUM(AJ300:AJ300)</f>
        <v>0</v>
      </c>
      <c r="AT299" s="36">
        <f>SUM(AK300:AK300)</f>
        <v>0</v>
      </c>
      <c r="AU299" s="36">
        <f>SUM(AL300:AL300)</f>
        <v>0</v>
      </c>
    </row>
    <row r="300" spans="1:62" ht="12.75">
      <c r="A300" s="4" t="s">
        <v>111</v>
      </c>
      <c r="B300" s="4" t="s">
        <v>285</v>
      </c>
      <c r="C300" s="151" t="s">
        <v>598</v>
      </c>
      <c r="D300" s="152"/>
      <c r="E300" s="152"/>
      <c r="F300" s="4" t="s">
        <v>747</v>
      </c>
      <c r="G300" s="16">
        <v>30</v>
      </c>
      <c r="H300" s="16">
        <v>0</v>
      </c>
      <c r="I300" s="16">
        <f>G300*AO300</f>
        <v>0</v>
      </c>
      <c r="J300" s="16">
        <f>G300*AP300</f>
        <v>0</v>
      </c>
      <c r="K300" s="16">
        <f>G300*H300</f>
        <v>0</v>
      </c>
      <c r="L300" s="28" t="s">
        <v>775</v>
      </c>
      <c r="Z300" s="33">
        <f>IF(AQ300="5",BJ300,0)</f>
        <v>0</v>
      </c>
      <c r="AB300" s="33">
        <f>IF(AQ300="1",BH300,0)</f>
        <v>0</v>
      </c>
      <c r="AC300" s="33">
        <f>IF(AQ300="1",BI300,0)</f>
        <v>0</v>
      </c>
      <c r="AD300" s="33">
        <f>IF(AQ300="7",BH300,0)</f>
        <v>0</v>
      </c>
      <c r="AE300" s="33">
        <f>IF(AQ300="7",BI300,0)</f>
        <v>0</v>
      </c>
      <c r="AF300" s="33">
        <f>IF(AQ300="2",BH300,0)</f>
        <v>0</v>
      </c>
      <c r="AG300" s="33">
        <f>IF(AQ300="2",BI300,0)</f>
        <v>0</v>
      </c>
      <c r="AH300" s="33">
        <f>IF(AQ300="0",BJ300,0)</f>
        <v>0</v>
      </c>
      <c r="AI300" s="29"/>
      <c r="AJ300" s="16">
        <f>IF(AN300=0,K300,0)</f>
        <v>0</v>
      </c>
      <c r="AK300" s="16">
        <f>IF(AN300=15,K300,0)</f>
        <v>0</v>
      </c>
      <c r="AL300" s="16">
        <f>IF(AN300=21,K300,0)</f>
        <v>0</v>
      </c>
      <c r="AN300" s="33">
        <v>15</v>
      </c>
      <c r="AO300" s="33">
        <f>H300*0.422333333333333</f>
        <v>0</v>
      </c>
      <c r="AP300" s="33">
        <f>H300*(1-0.422333333333333)</f>
        <v>0</v>
      </c>
      <c r="AQ300" s="28" t="s">
        <v>7</v>
      </c>
      <c r="AV300" s="33">
        <f>AW300+AX300</f>
        <v>0</v>
      </c>
      <c r="AW300" s="33">
        <f>G300*AO300</f>
        <v>0</v>
      </c>
      <c r="AX300" s="33">
        <f>G300*AP300</f>
        <v>0</v>
      </c>
      <c r="AY300" s="34" t="s">
        <v>803</v>
      </c>
      <c r="AZ300" s="34" t="s">
        <v>818</v>
      </c>
      <c r="BA300" s="29" t="s">
        <v>820</v>
      </c>
      <c r="BC300" s="33">
        <f>AW300+AX300</f>
        <v>0</v>
      </c>
      <c r="BD300" s="33">
        <f>H300/(100-BE300)*100</f>
        <v>0</v>
      </c>
      <c r="BE300" s="33">
        <v>0</v>
      </c>
      <c r="BF300" s="33">
        <f>300</f>
        <v>300</v>
      </c>
      <c r="BH300" s="16">
        <f>G300*AO300</f>
        <v>0</v>
      </c>
      <c r="BI300" s="16">
        <f>G300*AP300</f>
        <v>0</v>
      </c>
      <c r="BJ300" s="16">
        <f>G300*H300</f>
        <v>0</v>
      </c>
    </row>
    <row r="301" spans="3:7" ht="10.5" customHeight="1">
      <c r="C301" s="153" t="s">
        <v>599</v>
      </c>
      <c r="D301" s="154"/>
      <c r="E301" s="154"/>
      <c r="G301" s="17">
        <v>30</v>
      </c>
    </row>
    <row r="302" spans="1:47" ht="12.75">
      <c r="A302" s="5"/>
      <c r="B302" s="13" t="s">
        <v>101</v>
      </c>
      <c r="C302" s="157" t="s">
        <v>600</v>
      </c>
      <c r="D302" s="158"/>
      <c r="E302" s="158"/>
      <c r="F302" s="5" t="s">
        <v>6</v>
      </c>
      <c r="G302" s="5" t="s">
        <v>6</v>
      </c>
      <c r="H302" s="5" t="s">
        <v>6</v>
      </c>
      <c r="I302" s="36">
        <f>SUM(I303:I314)</f>
        <v>0</v>
      </c>
      <c r="J302" s="36">
        <f>SUM(J303:J314)</f>
        <v>0</v>
      </c>
      <c r="K302" s="36">
        <f>SUM(K303:K314)</f>
        <v>0</v>
      </c>
      <c r="L302" s="29"/>
      <c r="AI302" s="29"/>
      <c r="AS302" s="36">
        <f>SUM(AJ303:AJ314)</f>
        <v>0</v>
      </c>
      <c r="AT302" s="36">
        <f>SUM(AK303:AK314)</f>
        <v>0</v>
      </c>
      <c r="AU302" s="36">
        <f>SUM(AL303:AL314)</f>
        <v>0</v>
      </c>
    </row>
    <row r="303" spans="1:62" ht="12.75">
      <c r="A303" s="4" t="s">
        <v>112</v>
      </c>
      <c r="B303" s="4" t="s">
        <v>286</v>
      </c>
      <c r="C303" s="151" t="s">
        <v>601</v>
      </c>
      <c r="D303" s="152"/>
      <c r="E303" s="152"/>
      <c r="F303" s="4" t="s">
        <v>747</v>
      </c>
      <c r="G303" s="16">
        <v>62.05</v>
      </c>
      <c r="H303" s="16">
        <v>0</v>
      </c>
      <c r="I303" s="16">
        <f>G303*AO303</f>
        <v>0</v>
      </c>
      <c r="J303" s="16">
        <f>G303*AP303</f>
        <v>0</v>
      </c>
      <c r="K303" s="16">
        <f>G303*H303</f>
        <v>0</v>
      </c>
      <c r="L303" s="28" t="s">
        <v>775</v>
      </c>
      <c r="Z303" s="33">
        <f>IF(AQ303="5",BJ303,0)</f>
        <v>0</v>
      </c>
      <c r="AB303" s="33">
        <f>IF(AQ303="1",BH303,0)</f>
        <v>0</v>
      </c>
      <c r="AC303" s="33">
        <f>IF(AQ303="1",BI303,0)</f>
        <v>0</v>
      </c>
      <c r="AD303" s="33">
        <f>IF(AQ303="7",BH303,0)</f>
        <v>0</v>
      </c>
      <c r="AE303" s="33">
        <f>IF(AQ303="7",BI303,0)</f>
        <v>0</v>
      </c>
      <c r="AF303" s="33">
        <f>IF(AQ303="2",BH303,0)</f>
        <v>0</v>
      </c>
      <c r="AG303" s="33">
        <f>IF(AQ303="2",BI303,0)</f>
        <v>0</v>
      </c>
      <c r="AH303" s="33">
        <f>IF(AQ303="0",BJ303,0)</f>
        <v>0</v>
      </c>
      <c r="AI303" s="29"/>
      <c r="AJ303" s="16">
        <f>IF(AN303=0,K303,0)</f>
        <v>0</v>
      </c>
      <c r="AK303" s="16">
        <f>IF(AN303=15,K303,0)</f>
        <v>0</v>
      </c>
      <c r="AL303" s="16">
        <f>IF(AN303=21,K303,0)</f>
        <v>0</v>
      </c>
      <c r="AN303" s="33">
        <v>15</v>
      </c>
      <c r="AO303" s="33">
        <f>H303*0.0123809437432152</f>
        <v>0</v>
      </c>
      <c r="AP303" s="33">
        <f>H303*(1-0.0123809437432152)</f>
        <v>0</v>
      </c>
      <c r="AQ303" s="28" t="s">
        <v>7</v>
      </c>
      <c r="AV303" s="33">
        <f>AW303+AX303</f>
        <v>0</v>
      </c>
      <c r="AW303" s="33">
        <f>G303*AO303</f>
        <v>0</v>
      </c>
      <c r="AX303" s="33">
        <f>G303*AP303</f>
        <v>0</v>
      </c>
      <c r="AY303" s="34" t="s">
        <v>804</v>
      </c>
      <c r="AZ303" s="34" t="s">
        <v>818</v>
      </c>
      <c r="BA303" s="29" t="s">
        <v>820</v>
      </c>
      <c r="BC303" s="33">
        <f>AW303+AX303</f>
        <v>0</v>
      </c>
      <c r="BD303" s="33">
        <f>H303/(100-BE303)*100</f>
        <v>0</v>
      </c>
      <c r="BE303" s="33">
        <v>0</v>
      </c>
      <c r="BF303" s="33">
        <f>303</f>
        <v>303</v>
      </c>
      <c r="BH303" s="16">
        <f>G303*AO303</f>
        <v>0</v>
      </c>
      <c r="BI303" s="16">
        <f>G303*AP303</f>
        <v>0</v>
      </c>
      <c r="BJ303" s="16">
        <f>G303*H303</f>
        <v>0</v>
      </c>
    </row>
    <row r="304" spans="3:7" ht="10.5" customHeight="1">
      <c r="C304" s="153" t="s">
        <v>602</v>
      </c>
      <c r="D304" s="154"/>
      <c r="E304" s="154"/>
      <c r="G304" s="17">
        <v>62.05</v>
      </c>
    </row>
    <row r="305" spans="1:62" ht="12.75">
      <c r="A305" s="4" t="s">
        <v>113</v>
      </c>
      <c r="B305" s="4" t="s">
        <v>287</v>
      </c>
      <c r="C305" s="151" t="s">
        <v>603</v>
      </c>
      <c r="D305" s="152"/>
      <c r="E305" s="152"/>
      <c r="F305" s="4" t="s">
        <v>747</v>
      </c>
      <c r="G305" s="16">
        <v>250</v>
      </c>
      <c r="H305" s="16">
        <v>0</v>
      </c>
      <c r="I305" s="16">
        <f>G305*AO305</f>
        <v>0</v>
      </c>
      <c r="J305" s="16">
        <f>G305*AP305</f>
        <v>0</v>
      </c>
      <c r="K305" s="16">
        <f>G305*H305</f>
        <v>0</v>
      </c>
      <c r="L305" s="28" t="s">
        <v>775</v>
      </c>
      <c r="Z305" s="33">
        <f>IF(AQ305="5",BJ305,0)</f>
        <v>0</v>
      </c>
      <c r="AB305" s="33">
        <f>IF(AQ305="1",BH305,0)</f>
        <v>0</v>
      </c>
      <c r="AC305" s="33">
        <f>IF(AQ305="1",BI305,0)</f>
        <v>0</v>
      </c>
      <c r="AD305" s="33">
        <f>IF(AQ305="7",BH305,0)</f>
        <v>0</v>
      </c>
      <c r="AE305" s="33">
        <f>IF(AQ305="7",BI305,0)</f>
        <v>0</v>
      </c>
      <c r="AF305" s="33">
        <f>IF(AQ305="2",BH305,0)</f>
        <v>0</v>
      </c>
      <c r="AG305" s="33">
        <f>IF(AQ305="2",BI305,0)</f>
        <v>0</v>
      </c>
      <c r="AH305" s="33">
        <f>IF(AQ305="0",BJ305,0)</f>
        <v>0</v>
      </c>
      <c r="AI305" s="29"/>
      <c r="AJ305" s="16">
        <f>IF(AN305=0,K305,0)</f>
        <v>0</v>
      </c>
      <c r="AK305" s="16">
        <f>IF(AN305=15,K305,0)</f>
        <v>0</v>
      </c>
      <c r="AL305" s="16">
        <f>IF(AN305=21,K305,0)</f>
        <v>0</v>
      </c>
      <c r="AN305" s="33">
        <v>15</v>
      </c>
      <c r="AO305" s="33">
        <f>H305*0</f>
        <v>0</v>
      </c>
      <c r="AP305" s="33">
        <f>H305*(1-0)</f>
        <v>0</v>
      </c>
      <c r="AQ305" s="28" t="s">
        <v>7</v>
      </c>
      <c r="AV305" s="33">
        <f>AW305+AX305</f>
        <v>0</v>
      </c>
      <c r="AW305" s="33">
        <f>G305*AO305</f>
        <v>0</v>
      </c>
      <c r="AX305" s="33">
        <f>G305*AP305</f>
        <v>0</v>
      </c>
      <c r="AY305" s="34" t="s">
        <v>804</v>
      </c>
      <c r="AZ305" s="34" t="s">
        <v>818</v>
      </c>
      <c r="BA305" s="29" t="s">
        <v>820</v>
      </c>
      <c r="BC305" s="33">
        <f>AW305+AX305</f>
        <v>0</v>
      </c>
      <c r="BD305" s="33">
        <f>H305/(100-BE305)*100</f>
        <v>0</v>
      </c>
      <c r="BE305" s="33">
        <v>0</v>
      </c>
      <c r="BF305" s="33">
        <f>305</f>
        <v>305</v>
      </c>
      <c r="BH305" s="16">
        <f>G305*AO305</f>
        <v>0</v>
      </c>
      <c r="BI305" s="16">
        <f>G305*AP305</f>
        <v>0</v>
      </c>
      <c r="BJ305" s="16">
        <f>G305*H305</f>
        <v>0</v>
      </c>
    </row>
    <row r="306" spans="3:5" ht="12.75">
      <c r="C306" s="155" t="s">
        <v>604</v>
      </c>
      <c r="D306" s="156"/>
      <c r="E306" s="156"/>
    </row>
    <row r="307" spans="3:7" ht="10.5" customHeight="1">
      <c r="C307" s="153" t="s">
        <v>605</v>
      </c>
      <c r="D307" s="154"/>
      <c r="E307" s="154"/>
      <c r="G307" s="17">
        <v>250</v>
      </c>
    </row>
    <row r="308" spans="1:62" ht="12.75">
      <c r="A308" s="6" t="s">
        <v>114</v>
      </c>
      <c r="B308" s="6" t="s">
        <v>288</v>
      </c>
      <c r="C308" s="165" t="s">
        <v>606</v>
      </c>
      <c r="D308" s="166"/>
      <c r="E308" s="166"/>
      <c r="F308" s="6" t="s">
        <v>748</v>
      </c>
      <c r="G308" s="18">
        <v>1</v>
      </c>
      <c r="H308" s="18">
        <v>0</v>
      </c>
      <c r="I308" s="18">
        <f>G308*AO308</f>
        <v>0</v>
      </c>
      <c r="J308" s="18">
        <f>G308*AP308</f>
        <v>0</v>
      </c>
      <c r="K308" s="18">
        <f>G308*H308</f>
        <v>0</v>
      </c>
      <c r="L308" s="30" t="s">
        <v>775</v>
      </c>
      <c r="Z308" s="33">
        <f>IF(AQ308="5",BJ308,0)</f>
        <v>0</v>
      </c>
      <c r="AB308" s="33">
        <f>IF(AQ308="1",BH308,0)</f>
        <v>0</v>
      </c>
      <c r="AC308" s="33">
        <f>IF(AQ308="1",BI308,0)</f>
        <v>0</v>
      </c>
      <c r="AD308" s="33">
        <f>IF(AQ308="7",BH308,0)</f>
        <v>0</v>
      </c>
      <c r="AE308" s="33">
        <f>IF(AQ308="7",BI308,0)</f>
        <v>0</v>
      </c>
      <c r="AF308" s="33">
        <f>IF(AQ308="2",BH308,0)</f>
        <v>0</v>
      </c>
      <c r="AG308" s="33">
        <f>IF(AQ308="2",BI308,0)</f>
        <v>0</v>
      </c>
      <c r="AH308" s="33">
        <f>IF(AQ308="0",BJ308,0)</f>
        <v>0</v>
      </c>
      <c r="AI308" s="29"/>
      <c r="AJ308" s="18">
        <f>IF(AN308=0,K308,0)</f>
        <v>0</v>
      </c>
      <c r="AK308" s="18">
        <f>IF(AN308=15,K308,0)</f>
        <v>0</v>
      </c>
      <c r="AL308" s="18">
        <f>IF(AN308=21,K308,0)</f>
        <v>0</v>
      </c>
      <c r="AN308" s="33">
        <v>15</v>
      </c>
      <c r="AO308" s="33">
        <f>H308*1</f>
        <v>0</v>
      </c>
      <c r="AP308" s="33">
        <f>H308*(1-1)</f>
        <v>0</v>
      </c>
      <c r="AQ308" s="30" t="s">
        <v>7</v>
      </c>
      <c r="AV308" s="33">
        <f>AW308+AX308</f>
        <v>0</v>
      </c>
      <c r="AW308" s="33">
        <f>G308*AO308</f>
        <v>0</v>
      </c>
      <c r="AX308" s="33">
        <f>G308*AP308</f>
        <v>0</v>
      </c>
      <c r="AY308" s="34" t="s">
        <v>804</v>
      </c>
      <c r="AZ308" s="34" t="s">
        <v>818</v>
      </c>
      <c r="BA308" s="29" t="s">
        <v>820</v>
      </c>
      <c r="BC308" s="33">
        <f>AW308+AX308</f>
        <v>0</v>
      </c>
      <c r="BD308" s="33">
        <f>H308/(100-BE308)*100</f>
        <v>0</v>
      </c>
      <c r="BE308" s="33">
        <v>0</v>
      </c>
      <c r="BF308" s="33">
        <f>308</f>
        <v>308</v>
      </c>
      <c r="BH308" s="18">
        <f>G308*AO308</f>
        <v>0</v>
      </c>
      <c r="BI308" s="18">
        <f>G308*AP308</f>
        <v>0</v>
      </c>
      <c r="BJ308" s="18">
        <f>G308*H308</f>
        <v>0</v>
      </c>
    </row>
    <row r="309" spans="3:7" ht="10.5" customHeight="1">
      <c r="C309" s="153" t="s">
        <v>429</v>
      </c>
      <c r="D309" s="154"/>
      <c r="E309" s="154"/>
      <c r="G309" s="17">
        <v>1</v>
      </c>
    </row>
    <row r="310" spans="1:62" ht="12.75">
      <c r="A310" s="4" t="s">
        <v>115</v>
      </c>
      <c r="B310" s="4" t="s">
        <v>289</v>
      </c>
      <c r="C310" s="151" t="s">
        <v>961</v>
      </c>
      <c r="D310" s="152"/>
      <c r="E310" s="152"/>
      <c r="F310" s="4" t="s">
        <v>752</v>
      </c>
      <c r="G310" s="16">
        <v>1</v>
      </c>
      <c r="H310" s="16">
        <v>0</v>
      </c>
      <c r="I310" s="16">
        <f>G310*AO310</f>
        <v>0</v>
      </c>
      <c r="J310" s="16">
        <f>G310*AP310</f>
        <v>0</v>
      </c>
      <c r="K310" s="16">
        <f>G310*H310</f>
        <v>0</v>
      </c>
      <c r="L310" s="28" t="s">
        <v>775</v>
      </c>
      <c r="Z310" s="33">
        <f>IF(AQ310="5",BJ310,0)</f>
        <v>0</v>
      </c>
      <c r="AB310" s="33">
        <f>IF(AQ310="1",BH310,0)</f>
        <v>0</v>
      </c>
      <c r="AC310" s="33">
        <f>IF(AQ310="1",BI310,0)</f>
        <v>0</v>
      </c>
      <c r="AD310" s="33">
        <f>IF(AQ310="7",BH310,0)</f>
        <v>0</v>
      </c>
      <c r="AE310" s="33">
        <f>IF(AQ310="7",BI310,0)</f>
        <v>0</v>
      </c>
      <c r="AF310" s="33">
        <f>IF(AQ310="2",BH310,0)</f>
        <v>0</v>
      </c>
      <c r="AG310" s="33">
        <f>IF(AQ310="2",BI310,0)</f>
        <v>0</v>
      </c>
      <c r="AH310" s="33">
        <f>IF(AQ310="0",BJ310,0)</f>
        <v>0</v>
      </c>
      <c r="AI310" s="29"/>
      <c r="AJ310" s="16">
        <f>IF(AN310=0,K310,0)</f>
        <v>0</v>
      </c>
      <c r="AK310" s="16">
        <f>IF(AN310=15,K310,0)</f>
        <v>0</v>
      </c>
      <c r="AL310" s="16">
        <f>IF(AN310=21,K310,0)</f>
        <v>0</v>
      </c>
      <c r="AN310" s="33">
        <v>15</v>
      </c>
      <c r="AO310" s="33">
        <f>H310*0</f>
        <v>0</v>
      </c>
      <c r="AP310" s="33">
        <f>H310*(1-0)</f>
        <v>0</v>
      </c>
      <c r="AQ310" s="28" t="s">
        <v>7</v>
      </c>
      <c r="AV310" s="33">
        <f>AW310+AX310</f>
        <v>0</v>
      </c>
      <c r="AW310" s="33">
        <f>G310*AO310</f>
        <v>0</v>
      </c>
      <c r="AX310" s="33">
        <f>G310*AP310</f>
        <v>0</v>
      </c>
      <c r="AY310" s="34" t="s">
        <v>804</v>
      </c>
      <c r="AZ310" s="34" t="s">
        <v>818</v>
      </c>
      <c r="BA310" s="29" t="s">
        <v>820</v>
      </c>
      <c r="BC310" s="33">
        <f>AW310+AX310</f>
        <v>0</v>
      </c>
      <c r="BD310" s="33">
        <f>H310/(100-BE310)*100</f>
        <v>0</v>
      </c>
      <c r="BE310" s="33">
        <v>0</v>
      </c>
      <c r="BF310" s="33">
        <f>310</f>
        <v>310</v>
      </c>
      <c r="BH310" s="16">
        <f>G310*AO310</f>
        <v>0</v>
      </c>
      <c r="BI310" s="16">
        <f>G310*AP310</f>
        <v>0</v>
      </c>
      <c r="BJ310" s="16">
        <f>G310*H310</f>
        <v>0</v>
      </c>
    </row>
    <row r="311" spans="3:7" ht="10.5" customHeight="1">
      <c r="C311" s="153" t="s">
        <v>429</v>
      </c>
      <c r="D311" s="154"/>
      <c r="E311" s="154"/>
      <c r="G311" s="17">
        <v>1</v>
      </c>
    </row>
    <row r="312" spans="1:62" ht="12.75">
      <c r="A312" s="4" t="s">
        <v>116</v>
      </c>
      <c r="B312" s="4" t="s">
        <v>289</v>
      </c>
      <c r="C312" s="151" t="s">
        <v>607</v>
      </c>
      <c r="D312" s="152"/>
      <c r="E312" s="152"/>
      <c r="F312" s="4" t="s">
        <v>752</v>
      </c>
      <c r="G312" s="16">
        <v>1</v>
      </c>
      <c r="H312" s="16">
        <v>0</v>
      </c>
      <c r="I312" s="16">
        <f>G312*AO312</f>
        <v>0</v>
      </c>
      <c r="J312" s="16">
        <f>G312*AP312</f>
        <v>0</v>
      </c>
      <c r="K312" s="16">
        <f>G312*H312</f>
        <v>0</v>
      </c>
      <c r="L312" s="28" t="s">
        <v>775</v>
      </c>
      <c r="Z312" s="33">
        <f>IF(AQ312="5",BJ312,0)</f>
        <v>0</v>
      </c>
      <c r="AB312" s="33">
        <f>IF(AQ312="1",BH312,0)</f>
        <v>0</v>
      </c>
      <c r="AC312" s="33">
        <f>IF(AQ312="1",BI312,0)</f>
        <v>0</v>
      </c>
      <c r="AD312" s="33">
        <f>IF(AQ312="7",BH312,0)</f>
        <v>0</v>
      </c>
      <c r="AE312" s="33">
        <f>IF(AQ312="7",BI312,0)</f>
        <v>0</v>
      </c>
      <c r="AF312" s="33">
        <f>IF(AQ312="2",BH312,0)</f>
        <v>0</v>
      </c>
      <c r="AG312" s="33">
        <f>IF(AQ312="2",BI312,0)</f>
        <v>0</v>
      </c>
      <c r="AH312" s="33">
        <f>IF(AQ312="0",BJ312,0)</f>
        <v>0</v>
      </c>
      <c r="AI312" s="29"/>
      <c r="AJ312" s="16">
        <f>IF(AN312=0,K312,0)</f>
        <v>0</v>
      </c>
      <c r="AK312" s="16">
        <f>IF(AN312=15,K312,0)</f>
        <v>0</v>
      </c>
      <c r="AL312" s="16">
        <f>IF(AN312=21,K312,0)</f>
        <v>0</v>
      </c>
      <c r="AN312" s="33">
        <v>15</v>
      </c>
      <c r="AO312" s="33">
        <f>H312*0</f>
        <v>0</v>
      </c>
      <c r="AP312" s="33">
        <f>H312*(1-0)</f>
        <v>0</v>
      </c>
      <c r="AQ312" s="28" t="s">
        <v>7</v>
      </c>
      <c r="AV312" s="33">
        <f>AW312+AX312</f>
        <v>0</v>
      </c>
      <c r="AW312" s="33">
        <f>G312*AO312</f>
        <v>0</v>
      </c>
      <c r="AX312" s="33">
        <f>G312*AP312</f>
        <v>0</v>
      </c>
      <c r="AY312" s="34" t="s">
        <v>804</v>
      </c>
      <c r="AZ312" s="34" t="s">
        <v>818</v>
      </c>
      <c r="BA312" s="29" t="s">
        <v>820</v>
      </c>
      <c r="BC312" s="33">
        <f>AW312+AX312</f>
        <v>0</v>
      </c>
      <c r="BD312" s="33">
        <f>H312/(100-BE312)*100</f>
        <v>0</v>
      </c>
      <c r="BE312" s="33">
        <v>0</v>
      </c>
      <c r="BF312" s="33">
        <f>312</f>
        <v>312</v>
      </c>
      <c r="BH312" s="16">
        <f>G312*AO312</f>
        <v>0</v>
      </c>
      <c r="BI312" s="16">
        <f>G312*AP312</f>
        <v>0</v>
      </c>
      <c r="BJ312" s="16">
        <f>G312*H312</f>
        <v>0</v>
      </c>
    </row>
    <row r="313" spans="3:7" ht="10.5" customHeight="1">
      <c r="C313" s="153" t="s">
        <v>429</v>
      </c>
      <c r="D313" s="154"/>
      <c r="E313" s="154"/>
      <c r="G313" s="17">
        <v>1</v>
      </c>
    </row>
    <row r="314" spans="1:62" ht="12.75">
      <c r="A314" s="4" t="s">
        <v>117</v>
      </c>
      <c r="B314" s="4" t="s">
        <v>289</v>
      </c>
      <c r="C314" s="151" t="s">
        <v>608</v>
      </c>
      <c r="D314" s="152"/>
      <c r="E314" s="152"/>
      <c r="F314" s="4" t="s">
        <v>752</v>
      </c>
      <c r="G314" s="16">
        <v>1</v>
      </c>
      <c r="H314" s="16">
        <v>0</v>
      </c>
      <c r="I314" s="16">
        <f>G314*AO314</f>
        <v>0</v>
      </c>
      <c r="J314" s="16">
        <f>G314*AP314</f>
        <v>0</v>
      </c>
      <c r="K314" s="16">
        <f>G314*H314</f>
        <v>0</v>
      </c>
      <c r="L314" s="28" t="s">
        <v>775</v>
      </c>
      <c r="Z314" s="33">
        <f>IF(AQ314="5",BJ314,0)</f>
        <v>0</v>
      </c>
      <c r="AB314" s="33">
        <f>IF(AQ314="1",BH314,0)</f>
        <v>0</v>
      </c>
      <c r="AC314" s="33">
        <f>IF(AQ314="1",BI314,0)</f>
        <v>0</v>
      </c>
      <c r="AD314" s="33">
        <f>IF(AQ314="7",BH314,0)</f>
        <v>0</v>
      </c>
      <c r="AE314" s="33">
        <f>IF(AQ314="7",BI314,0)</f>
        <v>0</v>
      </c>
      <c r="AF314" s="33">
        <f>IF(AQ314="2",BH314,0)</f>
        <v>0</v>
      </c>
      <c r="AG314" s="33">
        <f>IF(AQ314="2",BI314,0)</f>
        <v>0</v>
      </c>
      <c r="AH314" s="33">
        <f>IF(AQ314="0",BJ314,0)</f>
        <v>0</v>
      </c>
      <c r="AI314" s="29"/>
      <c r="AJ314" s="16">
        <f>IF(AN314=0,K314,0)</f>
        <v>0</v>
      </c>
      <c r="AK314" s="16">
        <f>IF(AN314=15,K314,0)</f>
        <v>0</v>
      </c>
      <c r="AL314" s="16">
        <f>IF(AN314=21,K314,0)</f>
        <v>0</v>
      </c>
      <c r="AN314" s="33">
        <v>15</v>
      </c>
      <c r="AO314" s="33">
        <f>H314*0</f>
        <v>0</v>
      </c>
      <c r="AP314" s="33">
        <f>H314*(1-0)</f>
        <v>0</v>
      </c>
      <c r="AQ314" s="28" t="s">
        <v>7</v>
      </c>
      <c r="AV314" s="33">
        <f>AW314+AX314</f>
        <v>0</v>
      </c>
      <c r="AW314" s="33">
        <f>G314*AO314</f>
        <v>0</v>
      </c>
      <c r="AX314" s="33">
        <f>G314*AP314</f>
        <v>0</v>
      </c>
      <c r="AY314" s="34" t="s">
        <v>804</v>
      </c>
      <c r="AZ314" s="34" t="s">
        <v>818</v>
      </c>
      <c r="BA314" s="29" t="s">
        <v>820</v>
      </c>
      <c r="BC314" s="33">
        <f>AW314+AX314</f>
        <v>0</v>
      </c>
      <c r="BD314" s="33">
        <f>H314/(100-BE314)*100</f>
        <v>0</v>
      </c>
      <c r="BE314" s="33">
        <v>0</v>
      </c>
      <c r="BF314" s="33">
        <f>314</f>
        <v>314</v>
      </c>
      <c r="BH314" s="16">
        <f>G314*AO314</f>
        <v>0</v>
      </c>
      <c r="BI314" s="16">
        <f>G314*AP314</f>
        <v>0</v>
      </c>
      <c r="BJ314" s="16">
        <f>G314*H314</f>
        <v>0</v>
      </c>
    </row>
    <row r="315" spans="3:7" ht="10.5" customHeight="1">
      <c r="C315" s="153" t="s">
        <v>429</v>
      </c>
      <c r="D315" s="154"/>
      <c r="E315" s="154"/>
      <c r="G315" s="17">
        <v>1</v>
      </c>
    </row>
    <row r="316" spans="1:47" ht="12.75">
      <c r="A316" s="5"/>
      <c r="B316" s="13" t="s">
        <v>102</v>
      </c>
      <c r="C316" s="157" t="s">
        <v>609</v>
      </c>
      <c r="D316" s="158"/>
      <c r="E316" s="158"/>
      <c r="F316" s="5" t="s">
        <v>6</v>
      </c>
      <c r="G316" s="5" t="s">
        <v>6</v>
      </c>
      <c r="H316" s="5" t="s">
        <v>6</v>
      </c>
      <c r="I316" s="36">
        <f>SUM(I317:I358)</f>
        <v>0</v>
      </c>
      <c r="J316" s="36">
        <f>SUM(J317:J358)</f>
        <v>0</v>
      </c>
      <c r="K316" s="36">
        <f>SUM(K317:K358)</f>
        <v>0</v>
      </c>
      <c r="L316" s="29"/>
      <c r="AI316" s="29"/>
      <c r="AS316" s="36">
        <f>SUM(AJ317:AJ358)</f>
        <v>0</v>
      </c>
      <c r="AT316" s="36">
        <f>SUM(AK317:AK358)</f>
        <v>0</v>
      </c>
      <c r="AU316" s="36">
        <f>SUM(AL317:AL358)</f>
        <v>0</v>
      </c>
    </row>
    <row r="317" spans="1:62" ht="12.75">
      <c r="A317" s="4" t="s">
        <v>118</v>
      </c>
      <c r="B317" s="4" t="s">
        <v>290</v>
      </c>
      <c r="C317" s="151" t="s">
        <v>610</v>
      </c>
      <c r="D317" s="152"/>
      <c r="E317" s="152"/>
      <c r="F317" s="4" t="s">
        <v>747</v>
      </c>
      <c r="G317" s="16">
        <v>3.36</v>
      </c>
      <c r="H317" s="16">
        <v>0</v>
      </c>
      <c r="I317" s="16">
        <f>G317*AO317</f>
        <v>0</v>
      </c>
      <c r="J317" s="16">
        <f>G317*AP317</f>
        <v>0</v>
      </c>
      <c r="K317" s="16">
        <f>G317*H317</f>
        <v>0</v>
      </c>
      <c r="L317" s="28" t="s">
        <v>775</v>
      </c>
      <c r="Z317" s="33">
        <f>IF(AQ317="5",BJ317,0)</f>
        <v>0</v>
      </c>
      <c r="AB317" s="33">
        <f>IF(AQ317="1",BH317,0)</f>
        <v>0</v>
      </c>
      <c r="AC317" s="33">
        <f>IF(AQ317="1",BI317,0)</f>
        <v>0</v>
      </c>
      <c r="AD317" s="33">
        <f>IF(AQ317="7",BH317,0)</f>
        <v>0</v>
      </c>
      <c r="AE317" s="33">
        <f>IF(AQ317="7",BI317,0)</f>
        <v>0</v>
      </c>
      <c r="AF317" s="33">
        <f>IF(AQ317="2",BH317,0)</f>
        <v>0</v>
      </c>
      <c r="AG317" s="33">
        <f>IF(AQ317="2",BI317,0)</f>
        <v>0</v>
      </c>
      <c r="AH317" s="33">
        <f>IF(AQ317="0",BJ317,0)</f>
        <v>0</v>
      </c>
      <c r="AI317" s="29"/>
      <c r="AJ317" s="16">
        <f>IF(AN317=0,K317,0)</f>
        <v>0</v>
      </c>
      <c r="AK317" s="16">
        <f>IF(AN317=15,K317,0)</f>
        <v>0</v>
      </c>
      <c r="AL317" s="16">
        <f>IF(AN317=21,K317,0)</f>
        <v>0</v>
      </c>
      <c r="AN317" s="33">
        <v>15</v>
      </c>
      <c r="AO317" s="33">
        <f>H317*0</f>
        <v>0</v>
      </c>
      <c r="AP317" s="33">
        <f>H317*(1-0)</f>
        <v>0</v>
      </c>
      <c r="AQ317" s="28" t="s">
        <v>7</v>
      </c>
      <c r="AV317" s="33">
        <f>AW317+AX317</f>
        <v>0</v>
      </c>
      <c r="AW317" s="33">
        <f>G317*AO317</f>
        <v>0</v>
      </c>
      <c r="AX317" s="33">
        <f>G317*AP317</f>
        <v>0</v>
      </c>
      <c r="AY317" s="34" t="s">
        <v>805</v>
      </c>
      <c r="AZ317" s="34" t="s">
        <v>818</v>
      </c>
      <c r="BA317" s="29" t="s">
        <v>820</v>
      </c>
      <c r="BC317" s="33">
        <f>AW317+AX317</f>
        <v>0</v>
      </c>
      <c r="BD317" s="33">
        <f>H317/(100-BE317)*100</f>
        <v>0</v>
      </c>
      <c r="BE317" s="33">
        <v>0</v>
      </c>
      <c r="BF317" s="33">
        <f>317</f>
        <v>317</v>
      </c>
      <c r="BH317" s="16">
        <f>G317*AO317</f>
        <v>0</v>
      </c>
      <c r="BI317" s="16">
        <f>G317*AP317</f>
        <v>0</v>
      </c>
      <c r="BJ317" s="16">
        <f>G317*H317</f>
        <v>0</v>
      </c>
    </row>
    <row r="318" spans="3:7" ht="10.5" customHeight="1">
      <c r="C318" s="153" t="s">
        <v>611</v>
      </c>
      <c r="D318" s="154"/>
      <c r="E318" s="154"/>
      <c r="G318" s="17">
        <v>3.36</v>
      </c>
    </row>
    <row r="319" spans="1:62" ht="12.75">
      <c r="A319" s="4" t="s">
        <v>119</v>
      </c>
      <c r="B319" s="4" t="s">
        <v>291</v>
      </c>
      <c r="C319" s="151" t="s">
        <v>612</v>
      </c>
      <c r="D319" s="152"/>
      <c r="E319" s="152"/>
      <c r="F319" s="4" t="s">
        <v>750</v>
      </c>
      <c r="G319" s="16">
        <v>4.39563</v>
      </c>
      <c r="H319" s="16">
        <v>0</v>
      </c>
      <c r="I319" s="16">
        <f>G319*AO319</f>
        <v>0</v>
      </c>
      <c r="J319" s="16">
        <f>G319*AP319</f>
        <v>0</v>
      </c>
      <c r="K319" s="16">
        <f>G319*H319</f>
        <v>0</v>
      </c>
      <c r="L319" s="28" t="s">
        <v>775</v>
      </c>
      <c r="Z319" s="33">
        <f>IF(AQ319="5",BJ319,0)</f>
        <v>0</v>
      </c>
      <c r="AB319" s="33">
        <f>IF(AQ319="1",BH319,0)</f>
        <v>0</v>
      </c>
      <c r="AC319" s="33">
        <f>IF(AQ319="1",BI319,0)</f>
        <v>0</v>
      </c>
      <c r="AD319" s="33">
        <f>IF(AQ319="7",BH319,0)</f>
        <v>0</v>
      </c>
      <c r="AE319" s="33">
        <f>IF(AQ319="7",BI319,0)</f>
        <v>0</v>
      </c>
      <c r="AF319" s="33">
        <f>IF(AQ319="2",BH319,0)</f>
        <v>0</v>
      </c>
      <c r="AG319" s="33">
        <f>IF(AQ319="2",BI319,0)</f>
        <v>0</v>
      </c>
      <c r="AH319" s="33">
        <f>IF(AQ319="0",BJ319,0)</f>
        <v>0</v>
      </c>
      <c r="AI319" s="29"/>
      <c r="AJ319" s="16">
        <f>IF(AN319=0,K319,0)</f>
        <v>0</v>
      </c>
      <c r="AK319" s="16">
        <f>IF(AN319=15,K319,0)</f>
        <v>0</v>
      </c>
      <c r="AL319" s="16">
        <f>IF(AN319=21,K319,0)</f>
        <v>0</v>
      </c>
      <c r="AN319" s="33">
        <v>15</v>
      </c>
      <c r="AO319" s="33">
        <f>H319*0.0346355634872103</f>
        <v>0</v>
      </c>
      <c r="AP319" s="33">
        <f>H319*(1-0.0346355634872103)</f>
        <v>0</v>
      </c>
      <c r="AQ319" s="28" t="s">
        <v>7</v>
      </c>
      <c r="AV319" s="33">
        <f>AW319+AX319</f>
        <v>0</v>
      </c>
      <c r="AW319" s="33">
        <f>G319*AO319</f>
        <v>0</v>
      </c>
      <c r="AX319" s="33">
        <f>G319*AP319</f>
        <v>0</v>
      </c>
      <c r="AY319" s="34" t="s">
        <v>805</v>
      </c>
      <c r="AZ319" s="34" t="s">
        <v>818</v>
      </c>
      <c r="BA319" s="29" t="s">
        <v>820</v>
      </c>
      <c r="BC319" s="33">
        <f>AW319+AX319</f>
        <v>0</v>
      </c>
      <c r="BD319" s="33">
        <f>H319/(100-BE319)*100</f>
        <v>0</v>
      </c>
      <c r="BE319" s="33">
        <v>0</v>
      </c>
      <c r="BF319" s="33">
        <f>319</f>
        <v>319</v>
      </c>
      <c r="BH319" s="16">
        <f>G319*AO319</f>
        <v>0</v>
      </c>
      <c r="BI319" s="16">
        <f>G319*AP319</f>
        <v>0</v>
      </c>
      <c r="BJ319" s="16">
        <f>G319*H319</f>
        <v>0</v>
      </c>
    </row>
    <row r="320" spans="3:7" ht="10.5" customHeight="1">
      <c r="C320" s="153" t="s">
        <v>613</v>
      </c>
      <c r="D320" s="154"/>
      <c r="E320" s="154"/>
      <c r="G320" s="17">
        <v>2.07338</v>
      </c>
    </row>
    <row r="321" spans="3:7" ht="10.5" customHeight="1">
      <c r="C321" s="153" t="s">
        <v>614</v>
      </c>
      <c r="D321" s="154"/>
      <c r="E321" s="154"/>
      <c r="G321" s="17">
        <v>-0.4221</v>
      </c>
    </row>
    <row r="322" spans="3:7" ht="10.5" customHeight="1">
      <c r="C322" s="153" t="s">
        <v>615</v>
      </c>
      <c r="D322" s="154"/>
      <c r="E322" s="154"/>
      <c r="G322" s="17">
        <v>1.35375</v>
      </c>
    </row>
    <row r="323" spans="3:7" ht="10.5" customHeight="1">
      <c r="C323" s="153" t="s">
        <v>616</v>
      </c>
      <c r="D323" s="154"/>
      <c r="E323" s="154"/>
      <c r="G323" s="17">
        <v>-0.1344</v>
      </c>
    </row>
    <row r="324" spans="3:7" ht="10.5" customHeight="1">
      <c r="C324" s="153" t="s">
        <v>617</v>
      </c>
      <c r="D324" s="154"/>
      <c r="E324" s="154"/>
      <c r="G324" s="17">
        <v>1.525</v>
      </c>
    </row>
    <row r="325" spans="1:62" ht="12.75">
      <c r="A325" s="4" t="s">
        <v>120</v>
      </c>
      <c r="B325" s="4" t="s">
        <v>292</v>
      </c>
      <c r="C325" s="151" t="s">
        <v>618</v>
      </c>
      <c r="D325" s="152"/>
      <c r="E325" s="152"/>
      <c r="F325" s="4" t="s">
        <v>747</v>
      </c>
      <c r="G325" s="16">
        <v>93.30625</v>
      </c>
      <c r="H325" s="16">
        <v>0</v>
      </c>
      <c r="I325" s="16">
        <f>G325*AO325</f>
        <v>0</v>
      </c>
      <c r="J325" s="16">
        <f>G325*AP325</f>
        <v>0</v>
      </c>
      <c r="K325" s="16">
        <f>G325*H325</f>
        <v>0</v>
      </c>
      <c r="L325" s="28" t="s">
        <v>775</v>
      </c>
      <c r="Z325" s="33">
        <f>IF(AQ325="5",BJ325,0)</f>
        <v>0</v>
      </c>
      <c r="AB325" s="33">
        <f>IF(AQ325="1",BH325,0)</f>
        <v>0</v>
      </c>
      <c r="AC325" s="33">
        <f>IF(AQ325="1",BI325,0)</f>
        <v>0</v>
      </c>
      <c r="AD325" s="33">
        <f>IF(AQ325="7",BH325,0)</f>
        <v>0</v>
      </c>
      <c r="AE325" s="33">
        <f>IF(AQ325="7",BI325,0)</f>
        <v>0</v>
      </c>
      <c r="AF325" s="33">
        <f>IF(AQ325="2",BH325,0)</f>
        <v>0</v>
      </c>
      <c r="AG325" s="33">
        <f>IF(AQ325="2",BI325,0)</f>
        <v>0</v>
      </c>
      <c r="AH325" s="33">
        <f>IF(AQ325="0",BJ325,0)</f>
        <v>0</v>
      </c>
      <c r="AI325" s="29"/>
      <c r="AJ325" s="16">
        <f>IF(AN325=0,K325,0)</f>
        <v>0</v>
      </c>
      <c r="AK325" s="16">
        <f>IF(AN325=15,K325,0)</f>
        <v>0</v>
      </c>
      <c r="AL325" s="16">
        <f>IF(AN325=21,K325,0)</f>
        <v>0</v>
      </c>
      <c r="AN325" s="33">
        <v>15</v>
      </c>
      <c r="AO325" s="33">
        <f>H325*0</f>
        <v>0</v>
      </c>
      <c r="AP325" s="33">
        <f>H325*(1-0)</f>
        <v>0</v>
      </c>
      <c r="AQ325" s="28" t="s">
        <v>7</v>
      </c>
      <c r="AV325" s="33">
        <f>AW325+AX325</f>
        <v>0</v>
      </c>
      <c r="AW325" s="33">
        <f>G325*AO325</f>
        <v>0</v>
      </c>
      <c r="AX325" s="33">
        <f>G325*AP325</f>
        <v>0</v>
      </c>
      <c r="AY325" s="34" t="s">
        <v>805</v>
      </c>
      <c r="AZ325" s="34" t="s">
        <v>818</v>
      </c>
      <c r="BA325" s="29" t="s">
        <v>820</v>
      </c>
      <c r="BC325" s="33">
        <f>AW325+AX325</f>
        <v>0</v>
      </c>
      <c r="BD325" s="33">
        <f>H325/(100-BE325)*100</f>
        <v>0</v>
      </c>
      <c r="BE325" s="33">
        <v>0</v>
      </c>
      <c r="BF325" s="33">
        <f>325</f>
        <v>325</v>
      </c>
      <c r="BH325" s="16">
        <f>G325*AO325</f>
        <v>0</v>
      </c>
      <c r="BI325" s="16">
        <f>G325*AP325</f>
        <v>0</v>
      </c>
      <c r="BJ325" s="16">
        <f>G325*H325</f>
        <v>0</v>
      </c>
    </row>
    <row r="326" spans="3:5" ht="12.75">
      <c r="C326" s="155" t="s">
        <v>571</v>
      </c>
      <c r="D326" s="156"/>
      <c r="E326" s="156"/>
    </row>
    <row r="327" spans="3:7" ht="10.5" customHeight="1">
      <c r="C327" s="153" t="s">
        <v>407</v>
      </c>
      <c r="D327" s="154"/>
      <c r="E327" s="154"/>
      <c r="G327" s="17">
        <v>98.76625</v>
      </c>
    </row>
    <row r="328" spans="3:7" ht="10.5" customHeight="1">
      <c r="C328" s="153" t="s">
        <v>408</v>
      </c>
      <c r="D328" s="154"/>
      <c r="E328" s="154"/>
      <c r="G328" s="17">
        <v>-5.46</v>
      </c>
    </row>
    <row r="329" spans="1:62" ht="12.75">
      <c r="A329" s="4" t="s">
        <v>121</v>
      </c>
      <c r="B329" s="4" t="s">
        <v>293</v>
      </c>
      <c r="C329" s="151" t="s">
        <v>619</v>
      </c>
      <c r="D329" s="152"/>
      <c r="E329" s="152"/>
      <c r="F329" s="4" t="s">
        <v>747</v>
      </c>
      <c r="G329" s="16">
        <v>1.8683</v>
      </c>
      <c r="H329" s="16">
        <v>0</v>
      </c>
      <c r="I329" s="16">
        <f>G329*AO329</f>
        <v>0</v>
      </c>
      <c r="J329" s="16">
        <f>G329*AP329</f>
        <v>0</v>
      </c>
      <c r="K329" s="16">
        <f>G329*H329</f>
        <v>0</v>
      </c>
      <c r="L329" s="28" t="s">
        <v>775</v>
      </c>
      <c r="Z329" s="33">
        <f>IF(AQ329="5",BJ329,0)</f>
        <v>0</v>
      </c>
      <c r="AB329" s="33">
        <f>IF(AQ329="1",BH329,0)</f>
        <v>0</v>
      </c>
      <c r="AC329" s="33">
        <f>IF(AQ329="1",BI329,0)</f>
        <v>0</v>
      </c>
      <c r="AD329" s="33">
        <f>IF(AQ329="7",BH329,0)</f>
        <v>0</v>
      </c>
      <c r="AE329" s="33">
        <f>IF(AQ329="7",BI329,0)</f>
        <v>0</v>
      </c>
      <c r="AF329" s="33">
        <f>IF(AQ329="2",BH329,0)</f>
        <v>0</v>
      </c>
      <c r="AG329" s="33">
        <f>IF(AQ329="2",BI329,0)</f>
        <v>0</v>
      </c>
      <c r="AH329" s="33">
        <f>IF(AQ329="0",BJ329,0)</f>
        <v>0</v>
      </c>
      <c r="AI329" s="29"/>
      <c r="AJ329" s="16">
        <f>IF(AN329=0,K329,0)</f>
        <v>0</v>
      </c>
      <c r="AK329" s="16">
        <f>IF(AN329=15,K329,0)</f>
        <v>0</v>
      </c>
      <c r="AL329" s="16">
        <f>IF(AN329=21,K329,0)</f>
        <v>0</v>
      </c>
      <c r="AN329" s="33">
        <v>15</v>
      </c>
      <c r="AO329" s="33">
        <f>H329*0</f>
        <v>0</v>
      </c>
      <c r="AP329" s="33">
        <f>H329*(1-0)</f>
        <v>0</v>
      </c>
      <c r="AQ329" s="28" t="s">
        <v>7</v>
      </c>
      <c r="AV329" s="33">
        <f>AW329+AX329</f>
        <v>0</v>
      </c>
      <c r="AW329" s="33">
        <f>G329*AO329</f>
        <v>0</v>
      </c>
      <c r="AX329" s="33">
        <f>G329*AP329</f>
        <v>0</v>
      </c>
      <c r="AY329" s="34" t="s">
        <v>805</v>
      </c>
      <c r="AZ329" s="34" t="s">
        <v>818</v>
      </c>
      <c r="BA329" s="29" t="s">
        <v>820</v>
      </c>
      <c r="BC329" s="33">
        <f>AW329+AX329</f>
        <v>0</v>
      </c>
      <c r="BD329" s="33">
        <f>H329/(100-BE329)*100</f>
        <v>0</v>
      </c>
      <c r="BE329" s="33">
        <v>0</v>
      </c>
      <c r="BF329" s="33">
        <f>329</f>
        <v>329</v>
      </c>
      <c r="BH329" s="16">
        <f>G329*AO329</f>
        <v>0</v>
      </c>
      <c r="BI329" s="16">
        <f>G329*AP329</f>
        <v>0</v>
      </c>
      <c r="BJ329" s="16">
        <f>G329*H329</f>
        <v>0</v>
      </c>
    </row>
    <row r="330" spans="3:7" ht="10.5" customHeight="1">
      <c r="C330" s="153" t="s">
        <v>417</v>
      </c>
      <c r="D330" s="154"/>
      <c r="E330" s="154"/>
      <c r="G330" s="17">
        <v>1.8683</v>
      </c>
    </row>
    <row r="331" spans="1:62" ht="12.75">
      <c r="A331" s="4" t="s">
        <v>122</v>
      </c>
      <c r="B331" s="4" t="s">
        <v>294</v>
      </c>
      <c r="C331" s="151" t="s">
        <v>620</v>
      </c>
      <c r="D331" s="152"/>
      <c r="E331" s="152"/>
      <c r="F331" s="4" t="s">
        <v>747</v>
      </c>
      <c r="G331" s="16">
        <v>13.6713</v>
      </c>
      <c r="H331" s="16">
        <v>0</v>
      </c>
      <c r="I331" s="16">
        <f>G331*AO331</f>
        <v>0</v>
      </c>
      <c r="J331" s="16">
        <f>G331*AP331</f>
        <v>0</v>
      </c>
      <c r="K331" s="16">
        <f>G331*H331</f>
        <v>0</v>
      </c>
      <c r="L331" s="28" t="s">
        <v>775</v>
      </c>
      <c r="Z331" s="33">
        <f>IF(AQ331="5",BJ331,0)</f>
        <v>0</v>
      </c>
      <c r="AB331" s="33">
        <f>IF(AQ331="1",BH331,0)</f>
        <v>0</v>
      </c>
      <c r="AC331" s="33">
        <f>IF(AQ331="1",BI331,0)</f>
        <v>0</v>
      </c>
      <c r="AD331" s="33">
        <f>IF(AQ331="7",BH331,0)</f>
        <v>0</v>
      </c>
      <c r="AE331" s="33">
        <f>IF(AQ331="7",BI331,0)</f>
        <v>0</v>
      </c>
      <c r="AF331" s="33">
        <f>IF(AQ331="2",BH331,0)</f>
        <v>0</v>
      </c>
      <c r="AG331" s="33">
        <f>IF(AQ331="2",BI331,0)</f>
        <v>0</v>
      </c>
      <c r="AH331" s="33">
        <f>IF(AQ331="0",BJ331,0)</f>
        <v>0</v>
      </c>
      <c r="AI331" s="29"/>
      <c r="AJ331" s="16">
        <f>IF(AN331=0,K331,0)</f>
        <v>0</v>
      </c>
      <c r="AK331" s="16">
        <f>IF(AN331=15,K331,0)</f>
        <v>0</v>
      </c>
      <c r="AL331" s="16">
        <f>IF(AN331=21,K331,0)</f>
        <v>0</v>
      </c>
      <c r="AN331" s="33">
        <v>15</v>
      </c>
      <c r="AO331" s="33">
        <f>H331*0</f>
        <v>0</v>
      </c>
      <c r="AP331" s="33">
        <f>H331*(1-0)</f>
        <v>0</v>
      </c>
      <c r="AQ331" s="28" t="s">
        <v>7</v>
      </c>
      <c r="AV331" s="33">
        <f>AW331+AX331</f>
        <v>0</v>
      </c>
      <c r="AW331" s="33">
        <f>G331*AO331</f>
        <v>0</v>
      </c>
      <c r="AX331" s="33">
        <f>G331*AP331</f>
        <v>0</v>
      </c>
      <c r="AY331" s="34" t="s">
        <v>805</v>
      </c>
      <c r="AZ331" s="34" t="s">
        <v>818</v>
      </c>
      <c r="BA331" s="29" t="s">
        <v>820</v>
      </c>
      <c r="BC331" s="33">
        <f>AW331+AX331</f>
        <v>0</v>
      </c>
      <c r="BD331" s="33">
        <f>H331/(100-BE331)*100</f>
        <v>0</v>
      </c>
      <c r="BE331" s="33">
        <v>0</v>
      </c>
      <c r="BF331" s="33">
        <f>331</f>
        <v>331</v>
      </c>
      <c r="BH331" s="16">
        <f>G331*AO331</f>
        <v>0</v>
      </c>
      <c r="BI331" s="16">
        <f>G331*AP331</f>
        <v>0</v>
      </c>
      <c r="BJ331" s="16">
        <f>G331*H331</f>
        <v>0</v>
      </c>
    </row>
    <row r="332" spans="3:5" ht="12.75">
      <c r="C332" s="155" t="s">
        <v>621</v>
      </c>
      <c r="D332" s="156"/>
      <c r="E332" s="156"/>
    </row>
    <row r="333" spans="3:7" ht="10.5" customHeight="1">
      <c r="C333" s="153" t="s">
        <v>622</v>
      </c>
      <c r="D333" s="154"/>
      <c r="E333" s="154"/>
      <c r="G333" s="17">
        <v>13.6713</v>
      </c>
    </row>
    <row r="334" spans="1:62" ht="12.75">
      <c r="A334" s="4" t="s">
        <v>123</v>
      </c>
      <c r="B334" s="4" t="s">
        <v>295</v>
      </c>
      <c r="C334" s="151" t="s">
        <v>623</v>
      </c>
      <c r="D334" s="152"/>
      <c r="E334" s="152"/>
      <c r="F334" s="4" t="s">
        <v>750</v>
      </c>
      <c r="G334" s="16">
        <v>0.95699</v>
      </c>
      <c r="H334" s="16">
        <v>0</v>
      </c>
      <c r="I334" s="16">
        <f>G334*AO334</f>
        <v>0</v>
      </c>
      <c r="J334" s="16">
        <f>G334*AP334</f>
        <v>0</v>
      </c>
      <c r="K334" s="16">
        <f>G334*H334</f>
        <v>0</v>
      </c>
      <c r="L334" s="28" t="s">
        <v>775</v>
      </c>
      <c r="Z334" s="33">
        <f>IF(AQ334="5",BJ334,0)</f>
        <v>0</v>
      </c>
      <c r="AB334" s="33">
        <f>IF(AQ334="1",BH334,0)</f>
        <v>0</v>
      </c>
      <c r="AC334" s="33">
        <f>IF(AQ334="1",BI334,0)</f>
        <v>0</v>
      </c>
      <c r="AD334" s="33">
        <f>IF(AQ334="7",BH334,0)</f>
        <v>0</v>
      </c>
      <c r="AE334" s="33">
        <f>IF(AQ334="7",BI334,0)</f>
        <v>0</v>
      </c>
      <c r="AF334" s="33">
        <f>IF(AQ334="2",BH334,0)</f>
        <v>0</v>
      </c>
      <c r="AG334" s="33">
        <f>IF(AQ334="2",BI334,0)</f>
        <v>0</v>
      </c>
      <c r="AH334" s="33">
        <f>IF(AQ334="0",BJ334,0)</f>
        <v>0</v>
      </c>
      <c r="AI334" s="29"/>
      <c r="AJ334" s="16">
        <f>IF(AN334=0,K334,0)</f>
        <v>0</v>
      </c>
      <c r="AK334" s="16">
        <f>IF(AN334=15,K334,0)</f>
        <v>0</v>
      </c>
      <c r="AL334" s="16">
        <f>IF(AN334=21,K334,0)</f>
        <v>0</v>
      </c>
      <c r="AN334" s="33">
        <v>15</v>
      </c>
      <c r="AO334" s="33">
        <f>H334*0</f>
        <v>0</v>
      </c>
      <c r="AP334" s="33">
        <f>H334*(1-0)</f>
        <v>0</v>
      </c>
      <c r="AQ334" s="28" t="s">
        <v>7</v>
      </c>
      <c r="AV334" s="33">
        <f>AW334+AX334</f>
        <v>0</v>
      </c>
      <c r="AW334" s="33">
        <f>G334*AO334</f>
        <v>0</v>
      </c>
      <c r="AX334" s="33">
        <f>G334*AP334</f>
        <v>0</v>
      </c>
      <c r="AY334" s="34" t="s">
        <v>805</v>
      </c>
      <c r="AZ334" s="34" t="s">
        <v>818</v>
      </c>
      <c r="BA334" s="29" t="s">
        <v>820</v>
      </c>
      <c r="BC334" s="33">
        <f>AW334+AX334</f>
        <v>0</v>
      </c>
      <c r="BD334" s="33">
        <f>H334/(100-BE334)*100</f>
        <v>0</v>
      </c>
      <c r="BE334" s="33">
        <v>0</v>
      </c>
      <c r="BF334" s="33">
        <f>334</f>
        <v>334</v>
      </c>
      <c r="BH334" s="16">
        <f>G334*AO334</f>
        <v>0</v>
      </c>
      <c r="BI334" s="16">
        <f>G334*AP334</f>
        <v>0</v>
      </c>
      <c r="BJ334" s="16">
        <f>G334*H334</f>
        <v>0</v>
      </c>
    </row>
    <row r="335" spans="3:5" ht="12.75">
      <c r="C335" s="155" t="s">
        <v>624</v>
      </c>
      <c r="D335" s="156"/>
      <c r="E335" s="156"/>
    </row>
    <row r="336" spans="3:7" ht="10.5" customHeight="1">
      <c r="C336" s="153" t="s">
        <v>625</v>
      </c>
      <c r="D336" s="154"/>
      <c r="E336" s="154"/>
      <c r="G336" s="17">
        <v>0.95699</v>
      </c>
    </row>
    <row r="337" spans="1:62" ht="12.75">
      <c r="A337" s="4" t="s">
        <v>124</v>
      </c>
      <c r="B337" s="4" t="s">
        <v>296</v>
      </c>
      <c r="C337" s="151" t="s">
        <v>626</v>
      </c>
      <c r="D337" s="152"/>
      <c r="E337" s="152"/>
      <c r="F337" s="4" t="s">
        <v>747</v>
      </c>
      <c r="G337" s="16">
        <v>5.3375</v>
      </c>
      <c r="H337" s="16">
        <v>0</v>
      </c>
      <c r="I337" s="16">
        <f>G337*AO337</f>
        <v>0</v>
      </c>
      <c r="J337" s="16">
        <f>G337*AP337</f>
        <v>0</v>
      </c>
      <c r="K337" s="16">
        <f>G337*H337</f>
        <v>0</v>
      </c>
      <c r="L337" s="28" t="s">
        <v>775</v>
      </c>
      <c r="Z337" s="33">
        <f>IF(AQ337="5",BJ337,0)</f>
        <v>0</v>
      </c>
      <c r="AB337" s="33">
        <f>IF(AQ337="1",BH337,0)</f>
        <v>0</v>
      </c>
      <c r="AC337" s="33">
        <f>IF(AQ337="1",BI337,0)</f>
        <v>0</v>
      </c>
      <c r="AD337" s="33">
        <f>IF(AQ337="7",BH337,0)</f>
        <v>0</v>
      </c>
      <c r="AE337" s="33">
        <f>IF(AQ337="7",BI337,0)</f>
        <v>0</v>
      </c>
      <c r="AF337" s="33">
        <f>IF(AQ337="2",BH337,0)</f>
        <v>0</v>
      </c>
      <c r="AG337" s="33">
        <f>IF(AQ337="2",BI337,0)</f>
        <v>0</v>
      </c>
      <c r="AH337" s="33">
        <f>IF(AQ337="0",BJ337,0)</f>
        <v>0</v>
      </c>
      <c r="AI337" s="29"/>
      <c r="AJ337" s="16">
        <f>IF(AN337=0,K337,0)</f>
        <v>0</v>
      </c>
      <c r="AK337" s="16">
        <f>IF(AN337=15,K337,0)</f>
        <v>0</v>
      </c>
      <c r="AL337" s="16">
        <f>IF(AN337=21,K337,0)</f>
        <v>0</v>
      </c>
      <c r="AN337" s="33">
        <v>15</v>
      </c>
      <c r="AO337" s="33">
        <f>H337*0</f>
        <v>0</v>
      </c>
      <c r="AP337" s="33">
        <f>H337*(1-0)</f>
        <v>0</v>
      </c>
      <c r="AQ337" s="28" t="s">
        <v>7</v>
      </c>
      <c r="AV337" s="33">
        <f>AW337+AX337</f>
        <v>0</v>
      </c>
      <c r="AW337" s="33">
        <f>G337*AO337</f>
        <v>0</v>
      </c>
      <c r="AX337" s="33">
        <f>G337*AP337</f>
        <v>0</v>
      </c>
      <c r="AY337" s="34" t="s">
        <v>805</v>
      </c>
      <c r="AZ337" s="34" t="s">
        <v>818</v>
      </c>
      <c r="BA337" s="29" t="s">
        <v>820</v>
      </c>
      <c r="BC337" s="33">
        <f>AW337+AX337</f>
        <v>0</v>
      </c>
      <c r="BD337" s="33">
        <f>H337/(100-BE337)*100</f>
        <v>0</v>
      </c>
      <c r="BE337" s="33">
        <v>0</v>
      </c>
      <c r="BF337" s="33">
        <f>337</f>
        <v>337</v>
      </c>
      <c r="BH337" s="16">
        <f>G337*AO337</f>
        <v>0</v>
      </c>
      <c r="BI337" s="16">
        <f>G337*AP337</f>
        <v>0</v>
      </c>
      <c r="BJ337" s="16">
        <f>G337*H337</f>
        <v>0</v>
      </c>
    </row>
    <row r="338" spans="3:7" ht="10.5" customHeight="1">
      <c r="C338" s="153" t="s">
        <v>627</v>
      </c>
      <c r="D338" s="154"/>
      <c r="E338" s="154"/>
      <c r="G338" s="17">
        <v>2.175</v>
      </c>
    </row>
    <row r="339" spans="3:7" ht="10.5" customHeight="1">
      <c r="C339" s="153" t="s">
        <v>628</v>
      </c>
      <c r="D339" s="154"/>
      <c r="E339" s="154"/>
      <c r="G339" s="17">
        <v>1.6</v>
      </c>
    </row>
    <row r="340" spans="3:7" ht="10.5" customHeight="1">
      <c r="C340" s="153" t="s">
        <v>629</v>
      </c>
      <c r="D340" s="154"/>
      <c r="E340" s="154"/>
      <c r="G340" s="17">
        <v>1.5625</v>
      </c>
    </row>
    <row r="341" spans="1:62" ht="12.75">
      <c r="A341" s="4" t="s">
        <v>125</v>
      </c>
      <c r="B341" s="4" t="s">
        <v>297</v>
      </c>
      <c r="C341" s="151" t="s">
        <v>630</v>
      </c>
      <c r="D341" s="152"/>
      <c r="E341" s="152"/>
      <c r="F341" s="4" t="s">
        <v>747</v>
      </c>
      <c r="G341" s="16">
        <v>4.473</v>
      </c>
      <c r="H341" s="16">
        <v>0</v>
      </c>
      <c r="I341" s="16">
        <f>G341*AO341</f>
        <v>0</v>
      </c>
      <c r="J341" s="16">
        <f>G341*AP341</f>
        <v>0</v>
      </c>
      <c r="K341" s="16">
        <f>G341*H341</f>
        <v>0</v>
      </c>
      <c r="L341" s="28" t="s">
        <v>775</v>
      </c>
      <c r="Z341" s="33">
        <f>IF(AQ341="5",BJ341,0)</f>
        <v>0</v>
      </c>
      <c r="AB341" s="33">
        <f>IF(AQ341="1",BH341,0)</f>
        <v>0</v>
      </c>
      <c r="AC341" s="33">
        <f>IF(AQ341="1",BI341,0)</f>
        <v>0</v>
      </c>
      <c r="AD341" s="33">
        <f>IF(AQ341="7",BH341,0)</f>
        <v>0</v>
      </c>
      <c r="AE341" s="33">
        <f>IF(AQ341="7",BI341,0)</f>
        <v>0</v>
      </c>
      <c r="AF341" s="33">
        <f>IF(AQ341="2",BH341,0)</f>
        <v>0</v>
      </c>
      <c r="AG341" s="33">
        <f>IF(AQ341="2",BI341,0)</f>
        <v>0</v>
      </c>
      <c r="AH341" s="33">
        <f>IF(AQ341="0",BJ341,0)</f>
        <v>0</v>
      </c>
      <c r="AI341" s="29"/>
      <c r="AJ341" s="16">
        <f>IF(AN341=0,K341,0)</f>
        <v>0</v>
      </c>
      <c r="AK341" s="16">
        <f>IF(AN341=15,K341,0)</f>
        <v>0</v>
      </c>
      <c r="AL341" s="16">
        <f>IF(AN341=21,K341,0)</f>
        <v>0</v>
      </c>
      <c r="AN341" s="33">
        <v>15</v>
      </c>
      <c r="AO341" s="33">
        <f>H341*0.0755766850694655</f>
        <v>0</v>
      </c>
      <c r="AP341" s="33">
        <f>H341*(1-0.0755766850694655)</f>
        <v>0</v>
      </c>
      <c r="AQ341" s="28" t="s">
        <v>7</v>
      </c>
      <c r="AV341" s="33">
        <f>AW341+AX341</f>
        <v>0</v>
      </c>
      <c r="AW341" s="33">
        <f>G341*AO341</f>
        <v>0</v>
      </c>
      <c r="AX341" s="33">
        <f>G341*AP341</f>
        <v>0</v>
      </c>
      <c r="AY341" s="34" t="s">
        <v>805</v>
      </c>
      <c r="AZ341" s="34" t="s">
        <v>818</v>
      </c>
      <c r="BA341" s="29" t="s">
        <v>820</v>
      </c>
      <c r="BC341" s="33">
        <f>AW341+AX341</f>
        <v>0</v>
      </c>
      <c r="BD341" s="33">
        <f>H341/(100-BE341)*100</f>
        <v>0</v>
      </c>
      <c r="BE341" s="33">
        <v>0</v>
      </c>
      <c r="BF341" s="33">
        <f>341</f>
        <v>341</v>
      </c>
      <c r="BH341" s="16">
        <f>G341*AO341</f>
        <v>0</v>
      </c>
      <c r="BI341" s="16">
        <f>G341*AP341</f>
        <v>0</v>
      </c>
      <c r="BJ341" s="16">
        <f>G341*H341</f>
        <v>0</v>
      </c>
    </row>
    <row r="342" spans="3:7" ht="10.5" customHeight="1">
      <c r="C342" s="153" t="s">
        <v>631</v>
      </c>
      <c r="D342" s="154"/>
      <c r="E342" s="154"/>
      <c r="G342" s="17">
        <v>4.473</v>
      </c>
    </row>
    <row r="343" spans="1:62" ht="12.75">
      <c r="A343" s="4" t="s">
        <v>126</v>
      </c>
      <c r="B343" s="4" t="s">
        <v>298</v>
      </c>
      <c r="C343" s="151" t="s">
        <v>632</v>
      </c>
      <c r="D343" s="152"/>
      <c r="E343" s="152"/>
      <c r="F343" s="4" t="s">
        <v>748</v>
      </c>
      <c r="G343" s="16">
        <v>6</v>
      </c>
      <c r="H343" s="16">
        <v>0</v>
      </c>
      <c r="I343" s="16">
        <f>G343*AO343</f>
        <v>0</v>
      </c>
      <c r="J343" s="16">
        <f>G343*AP343</f>
        <v>0</v>
      </c>
      <c r="K343" s="16">
        <f>G343*H343</f>
        <v>0</v>
      </c>
      <c r="L343" s="28" t="s">
        <v>775</v>
      </c>
      <c r="Z343" s="33">
        <f>IF(AQ343="5",BJ343,0)</f>
        <v>0</v>
      </c>
      <c r="AB343" s="33">
        <f>IF(AQ343="1",BH343,0)</f>
        <v>0</v>
      </c>
      <c r="AC343" s="33">
        <f>IF(AQ343="1",BI343,0)</f>
        <v>0</v>
      </c>
      <c r="AD343" s="33">
        <f>IF(AQ343="7",BH343,0)</f>
        <v>0</v>
      </c>
      <c r="AE343" s="33">
        <f>IF(AQ343="7",BI343,0)</f>
        <v>0</v>
      </c>
      <c r="AF343" s="33">
        <f>IF(AQ343="2",BH343,0)</f>
        <v>0</v>
      </c>
      <c r="AG343" s="33">
        <f>IF(AQ343="2",BI343,0)</f>
        <v>0</v>
      </c>
      <c r="AH343" s="33">
        <f>IF(AQ343="0",BJ343,0)</f>
        <v>0</v>
      </c>
      <c r="AI343" s="29"/>
      <c r="AJ343" s="16">
        <f>IF(AN343=0,K343,0)</f>
        <v>0</v>
      </c>
      <c r="AK343" s="16">
        <f>IF(AN343=15,K343,0)</f>
        <v>0</v>
      </c>
      <c r="AL343" s="16">
        <f>IF(AN343=21,K343,0)</f>
        <v>0</v>
      </c>
      <c r="AN343" s="33">
        <v>15</v>
      </c>
      <c r="AO343" s="33">
        <f>H343*0</f>
        <v>0</v>
      </c>
      <c r="AP343" s="33">
        <f>H343*(1-0)</f>
        <v>0</v>
      </c>
      <c r="AQ343" s="28" t="s">
        <v>7</v>
      </c>
      <c r="AV343" s="33">
        <f>AW343+AX343</f>
        <v>0</v>
      </c>
      <c r="AW343" s="33">
        <f>G343*AO343</f>
        <v>0</v>
      </c>
      <c r="AX343" s="33">
        <f>G343*AP343</f>
        <v>0</v>
      </c>
      <c r="AY343" s="34" t="s">
        <v>805</v>
      </c>
      <c r="AZ343" s="34" t="s">
        <v>818</v>
      </c>
      <c r="BA343" s="29" t="s">
        <v>820</v>
      </c>
      <c r="BC343" s="33">
        <f>AW343+AX343</f>
        <v>0</v>
      </c>
      <c r="BD343" s="33">
        <f>H343/(100-BE343)*100</f>
        <v>0</v>
      </c>
      <c r="BE343" s="33">
        <v>0</v>
      </c>
      <c r="BF343" s="33">
        <f>343</f>
        <v>343</v>
      </c>
      <c r="BH343" s="16">
        <f>G343*AO343</f>
        <v>0</v>
      </c>
      <c r="BI343" s="16">
        <f>G343*AP343</f>
        <v>0</v>
      </c>
      <c r="BJ343" s="16">
        <f>G343*H343</f>
        <v>0</v>
      </c>
    </row>
    <row r="344" spans="3:7" ht="10.5" customHeight="1">
      <c r="C344" s="153" t="s">
        <v>633</v>
      </c>
      <c r="D344" s="154"/>
      <c r="E344" s="154"/>
      <c r="G344" s="17">
        <v>6</v>
      </c>
    </row>
    <row r="345" spans="1:62" ht="12.75">
      <c r="A345" s="4" t="s">
        <v>127</v>
      </c>
      <c r="B345" s="4" t="s">
        <v>299</v>
      </c>
      <c r="C345" s="151" t="s">
        <v>634</v>
      </c>
      <c r="D345" s="152"/>
      <c r="E345" s="152"/>
      <c r="F345" s="4" t="s">
        <v>753</v>
      </c>
      <c r="G345" s="16">
        <v>1</v>
      </c>
      <c r="H345" s="16">
        <v>0</v>
      </c>
      <c r="I345" s="16">
        <f>G345*AO345</f>
        <v>0</v>
      </c>
      <c r="J345" s="16">
        <f>G345*AP345</f>
        <v>0</v>
      </c>
      <c r="K345" s="16">
        <f>G345*H345</f>
        <v>0</v>
      </c>
      <c r="L345" s="28" t="s">
        <v>775</v>
      </c>
      <c r="Z345" s="33">
        <f>IF(AQ345="5",BJ345,0)</f>
        <v>0</v>
      </c>
      <c r="AB345" s="33">
        <f>IF(AQ345="1",BH345,0)</f>
        <v>0</v>
      </c>
      <c r="AC345" s="33">
        <f>IF(AQ345="1",BI345,0)</f>
        <v>0</v>
      </c>
      <c r="AD345" s="33">
        <f>IF(AQ345="7",BH345,0)</f>
        <v>0</v>
      </c>
      <c r="AE345" s="33">
        <f>IF(AQ345="7",BI345,0)</f>
        <v>0</v>
      </c>
      <c r="AF345" s="33">
        <f>IF(AQ345="2",BH345,0)</f>
        <v>0</v>
      </c>
      <c r="AG345" s="33">
        <f>IF(AQ345="2",BI345,0)</f>
        <v>0</v>
      </c>
      <c r="AH345" s="33">
        <f>IF(AQ345="0",BJ345,0)</f>
        <v>0</v>
      </c>
      <c r="AI345" s="29"/>
      <c r="AJ345" s="16">
        <f>IF(AN345=0,K345,0)</f>
        <v>0</v>
      </c>
      <c r="AK345" s="16">
        <f>IF(AN345=15,K345,0)</f>
        <v>0</v>
      </c>
      <c r="AL345" s="16">
        <f>IF(AN345=21,K345,0)</f>
        <v>0</v>
      </c>
      <c r="AN345" s="33">
        <v>15</v>
      </c>
      <c r="AO345" s="33">
        <f>H345*0</f>
        <v>0</v>
      </c>
      <c r="AP345" s="33">
        <f>H345*(1-0)</f>
        <v>0</v>
      </c>
      <c r="AQ345" s="28" t="s">
        <v>7</v>
      </c>
      <c r="AV345" s="33">
        <f>AW345+AX345</f>
        <v>0</v>
      </c>
      <c r="AW345" s="33">
        <f>G345*AO345</f>
        <v>0</v>
      </c>
      <c r="AX345" s="33">
        <f>G345*AP345</f>
        <v>0</v>
      </c>
      <c r="AY345" s="34" t="s">
        <v>805</v>
      </c>
      <c r="AZ345" s="34" t="s">
        <v>818</v>
      </c>
      <c r="BA345" s="29" t="s">
        <v>820</v>
      </c>
      <c r="BC345" s="33">
        <f>AW345+AX345</f>
        <v>0</v>
      </c>
      <c r="BD345" s="33">
        <f>H345/(100-BE345)*100</f>
        <v>0</v>
      </c>
      <c r="BE345" s="33">
        <v>0</v>
      </c>
      <c r="BF345" s="33">
        <f>345</f>
        <v>345</v>
      </c>
      <c r="BH345" s="16">
        <f>G345*AO345</f>
        <v>0</v>
      </c>
      <c r="BI345" s="16">
        <f>G345*AP345</f>
        <v>0</v>
      </c>
      <c r="BJ345" s="16">
        <f>G345*H345</f>
        <v>0</v>
      </c>
    </row>
    <row r="346" spans="1:62" ht="12.75">
      <c r="A346" s="4" t="s">
        <v>128</v>
      </c>
      <c r="B346" s="4" t="s">
        <v>300</v>
      </c>
      <c r="C346" s="151" t="s">
        <v>635</v>
      </c>
      <c r="D346" s="152"/>
      <c r="E346" s="152"/>
      <c r="F346" s="4" t="s">
        <v>753</v>
      </c>
      <c r="G346" s="16">
        <v>1</v>
      </c>
      <c r="H346" s="16">
        <v>0</v>
      </c>
      <c r="I346" s="16">
        <f>G346*AO346</f>
        <v>0</v>
      </c>
      <c r="J346" s="16">
        <f>G346*AP346</f>
        <v>0</v>
      </c>
      <c r="K346" s="16">
        <f>G346*H346</f>
        <v>0</v>
      </c>
      <c r="L346" s="28" t="s">
        <v>775</v>
      </c>
      <c r="Z346" s="33">
        <f>IF(AQ346="5",BJ346,0)</f>
        <v>0</v>
      </c>
      <c r="AB346" s="33">
        <f>IF(AQ346="1",BH346,0)</f>
        <v>0</v>
      </c>
      <c r="AC346" s="33">
        <f>IF(AQ346="1",BI346,0)</f>
        <v>0</v>
      </c>
      <c r="AD346" s="33">
        <f>IF(AQ346="7",BH346,0)</f>
        <v>0</v>
      </c>
      <c r="AE346" s="33">
        <f>IF(AQ346="7",BI346,0)</f>
        <v>0</v>
      </c>
      <c r="AF346" s="33">
        <f>IF(AQ346="2",BH346,0)</f>
        <v>0</v>
      </c>
      <c r="AG346" s="33">
        <f>IF(AQ346="2",BI346,0)</f>
        <v>0</v>
      </c>
      <c r="AH346" s="33">
        <f>IF(AQ346="0",BJ346,0)</f>
        <v>0</v>
      </c>
      <c r="AI346" s="29"/>
      <c r="AJ346" s="16">
        <f>IF(AN346=0,K346,0)</f>
        <v>0</v>
      </c>
      <c r="AK346" s="16">
        <f>IF(AN346=15,K346,0)</f>
        <v>0</v>
      </c>
      <c r="AL346" s="16">
        <f>IF(AN346=21,K346,0)</f>
        <v>0</v>
      </c>
      <c r="AN346" s="33">
        <v>15</v>
      </c>
      <c r="AO346" s="33">
        <f>H346*0</f>
        <v>0</v>
      </c>
      <c r="AP346" s="33">
        <f>H346*(1-0)</f>
        <v>0</v>
      </c>
      <c r="AQ346" s="28" t="s">
        <v>7</v>
      </c>
      <c r="AV346" s="33">
        <f>AW346+AX346</f>
        <v>0</v>
      </c>
      <c r="AW346" s="33">
        <f>G346*AO346</f>
        <v>0</v>
      </c>
      <c r="AX346" s="33">
        <f>G346*AP346</f>
        <v>0</v>
      </c>
      <c r="AY346" s="34" t="s">
        <v>805</v>
      </c>
      <c r="AZ346" s="34" t="s">
        <v>818</v>
      </c>
      <c r="BA346" s="29" t="s">
        <v>820</v>
      </c>
      <c r="BC346" s="33">
        <f>AW346+AX346</f>
        <v>0</v>
      </c>
      <c r="BD346" s="33">
        <f>H346/(100-BE346)*100</f>
        <v>0</v>
      </c>
      <c r="BE346" s="33">
        <v>0</v>
      </c>
      <c r="BF346" s="33">
        <f>346</f>
        <v>346</v>
      </c>
      <c r="BH346" s="16">
        <f>G346*AO346</f>
        <v>0</v>
      </c>
      <c r="BI346" s="16">
        <f>G346*AP346</f>
        <v>0</v>
      </c>
      <c r="BJ346" s="16">
        <f>G346*H346</f>
        <v>0</v>
      </c>
    </row>
    <row r="347" spans="3:7" ht="10.5" customHeight="1">
      <c r="C347" s="153" t="s">
        <v>429</v>
      </c>
      <c r="D347" s="154"/>
      <c r="E347" s="154"/>
      <c r="G347" s="17">
        <v>1</v>
      </c>
    </row>
    <row r="348" spans="1:62" ht="12.75">
      <c r="A348" s="4" t="s">
        <v>129</v>
      </c>
      <c r="B348" s="4" t="s">
        <v>301</v>
      </c>
      <c r="C348" s="151" t="s">
        <v>636</v>
      </c>
      <c r="D348" s="152"/>
      <c r="E348" s="152"/>
      <c r="F348" s="4" t="s">
        <v>753</v>
      </c>
      <c r="G348" s="16">
        <v>1</v>
      </c>
      <c r="H348" s="16">
        <v>0</v>
      </c>
      <c r="I348" s="16">
        <f>G348*AO348</f>
        <v>0</v>
      </c>
      <c r="J348" s="16">
        <f>G348*AP348</f>
        <v>0</v>
      </c>
      <c r="K348" s="16">
        <f>G348*H348</f>
        <v>0</v>
      </c>
      <c r="L348" s="28" t="s">
        <v>775</v>
      </c>
      <c r="Z348" s="33">
        <f>IF(AQ348="5",BJ348,0)</f>
        <v>0</v>
      </c>
      <c r="AB348" s="33">
        <f>IF(AQ348="1",BH348,0)</f>
        <v>0</v>
      </c>
      <c r="AC348" s="33">
        <f>IF(AQ348="1",BI348,0)</f>
        <v>0</v>
      </c>
      <c r="AD348" s="33">
        <f>IF(AQ348="7",BH348,0)</f>
        <v>0</v>
      </c>
      <c r="AE348" s="33">
        <f>IF(AQ348="7",BI348,0)</f>
        <v>0</v>
      </c>
      <c r="AF348" s="33">
        <f>IF(AQ348="2",BH348,0)</f>
        <v>0</v>
      </c>
      <c r="AG348" s="33">
        <f>IF(AQ348="2",BI348,0)</f>
        <v>0</v>
      </c>
      <c r="AH348" s="33">
        <f>IF(AQ348="0",BJ348,0)</f>
        <v>0</v>
      </c>
      <c r="AI348" s="29"/>
      <c r="AJ348" s="16">
        <f>IF(AN348=0,K348,0)</f>
        <v>0</v>
      </c>
      <c r="AK348" s="16">
        <f>IF(AN348=15,K348,0)</f>
        <v>0</v>
      </c>
      <c r="AL348" s="16">
        <f>IF(AN348=21,K348,0)</f>
        <v>0</v>
      </c>
      <c r="AN348" s="33">
        <v>15</v>
      </c>
      <c r="AO348" s="33">
        <f>H348*0</f>
        <v>0</v>
      </c>
      <c r="AP348" s="33">
        <f>H348*(1-0)</f>
        <v>0</v>
      </c>
      <c r="AQ348" s="28" t="s">
        <v>7</v>
      </c>
      <c r="AV348" s="33">
        <f>AW348+AX348</f>
        <v>0</v>
      </c>
      <c r="AW348" s="33">
        <f>G348*AO348</f>
        <v>0</v>
      </c>
      <c r="AX348" s="33">
        <f>G348*AP348</f>
        <v>0</v>
      </c>
      <c r="AY348" s="34" t="s">
        <v>805</v>
      </c>
      <c r="AZ348" s="34" t="s">
        <v>818</v>
      </c>
      <c r="BA348" s="29" t="s">
        <v>820</v>
      </c>
      <c r="BC348" s="33">
        <f>AW348+AX348</f>
        <v>0</v>
      </c>
      <c r="BD348" s="33">
        <f>H348/(100-BE348)*100</f>
        <v>0</v>
      </c>
      <c r="BE348" s="33">
        <v>0</v>
      </c>
      <c r="BF348" s="33">
        <f>348</f>
        <v>348</v>
      </c>
      <c r="BH348" s="16">
        <f>G348*AO348</f>
        <v>0</v>
      </c>
      <c r="BI348" s="16">
        <f>G348*AP348</f>
        <v>0</v>
      </c>
      <c r="BJ348" s="16">
        <f>G348*H348</f>
        <v>0</v>
      </c>
    </row>
    <row r="349" spans="3:7" ht="10.5" customHeight="1">
      <c r="C349" s="153" t="s">
        <v>429</v>
      </c>
      <c r="D349" s="154"/>
      <c r="E349" s="154"/>
      <c r="G349" s="17">
        <v>1</v>
      </c>
    </row>
    <row r="350" spans="1:62" ht="12.75">
      <c r="A350" s="4" t="s">
        <v>130</v>
      </c>
      <c r="B350" s="4" t="s">
        <v>302</v>
      </c>
      <c r="C350" s="151" t="s">
        <v>637</v>
      </c>
      <c r="D350" s="152"/>
      <c r="E350" s="152"/>
      <c r="F350" s="4" t="s">
        <v>753</v>
      </c>
      <c r="G350" s="16">
        <v>3</v>
      </c>
      <c r="H350" s="16">
        <v>0</v>
      </c>
      <c r="I350" s="16">
        <f>G350*AO350</f>
        <v>0</v>
      </c>
      <c r="J350" s="16">
        <f>G350*AP350</f>
        <v>0</v>
      </c>
      <c r="K350" s="16">
        <f>G350*H350</f>
        <v>0</v>
      </c>
      <c r="L350" s="28" t="s">
        <v>775</v>
      </c>
      <c r="Z350" s="33">
        <f>IF(AQ350="5",BJ350,0)</f>
        <v>0</v>
      </c>
      <c r="AB350" s="33">
        <f>IF(AQ350="1",BH350,0)</f>
        <v>0</v>
      </c>
      <c r="AC350" s="33">
        <f>IF(AQ350="1",BI350,0)</f>
        <v>0</v>
      </c>
      <c r="AD350" s="33">
        <f>IF(AQ350="7",BH350,0)</f>
        <v>0</v>
      </c>
      <c r="AE350" s="33">
        <f>IF(AQ350="7",BI350,0)</f>
        <v>0</v>
      </c>
      <c r="AF350" s="33">
        <f>IF(AQ350="2",BH350,0)</f>
        <v>0</v>
      </c>
      <c r="AG350" s="33">
        <f>IF(AQ350="2",BI350,0)</f>
        <v>0</v>
      </c>
      <c r="AH350" s="33">
        <f>IF(AQ350="0",BJ350,0)</f>
        <v>0</v>
      </c>
      <c r="AI350" s="29"/>
      <c r="AJ350" s="16">
        <f>IF(AN350=0,K350,0)</f>
        <v>0</v>
      </c>
      <c r="AK350" s="16">
        <f>IF(AN350=15,K350,0)</f>
        <v>0</v>
      </c>
      <c r="AL350" s="16">
        <f>IF(AN350=21,K350,0)</f>
        <v>0</v>
      </c>
      <c r="AN350" s="33">
        <v>15</v>
      </c>
      <c r="AO350" s="33">
        <f>H350*0</f>
        <v>0</v>
      </c>
      <c r="AP350" s="33">
        <f>H350*(1-0)</f>
        <v>0</v>
      </c>
      <c r="AQ350" s="28" t="s">
        <v>7</v>
      </c>
      <c r="AV350" s="33">
        <f>AW350+AX350</f>
        <v>0</v>
      </c>
      <c r="AW350" s="33">
        <f>G350*AO350</f>
        <v>0</v>
      </c>
      <c r="AX350" s="33">
        <f>G350*AP350</f>
        <v>0</v>
      </c>
      <c r="AY350" s="34" t="s">
        <v>805</v>
      </c>
      <c r="AZ350" s="34" t="s">
        <v>818</v>
      </c>
      <c r="BA350" s="29" t="s">
        <v>820</v>
      </c>
      <c r="BC350" s="33">
        <f>AW350+AX350</f>
        <v>0</v>
      </c>
      <c r="BD350" s="33">
        <f>H350/(100-BE350)*100</f>
        <v>0</v>
      </c>
      <c r="BE350" s="33">
        <v>0</v>
      </c>
      <c r="BF350" s="33">
        <f>350</f>
        <v>350</v>
      </c>
      <c r="BH350" s="16">
        <f>G350*AO350</f>
        <v>0</v>
      </c>
      <c r="BI350" s="16">
        <f>G350*AP350</f>
        <v>0</v>
      </c>
      <c r="BJ350" s="16">
        <f>G350*H350</f>
        <v>0</v>
      </c>
    </row>
    <row r="351" spans="3:7" ht="10.5" customHeight="1">
      <c r="C351" s="153" t="s">
        <v>469</v>
      </c>
      <c r="D351" s="154"/>
      <c r="E351" s="154"/>
      <c r="G351" s="17">
        <v>3</v>
      </c>
    </row>
    <row r="352" spans="1:62" ht="12.75">
      <c r="A352" s="4" t="s">
        <v>131</v>
      </c>
      <c r="B352" s="4" t="s">
        <v>303</v>
      </c>
      <c r="C352" s="151" t="s">
        <v>638</v>
      </c>
      <c r="D352" s="152"/>
      <c r="E352" s="152"/>
      <c r="F352" s="4" t="s">
        <v>748</v>
      </c>
      <c r="G352" s="16">
        <v>2</v>
      </c>
      <c r="H352" s="16">
        <v>0</v>
      </c>
      <c r="I352" s="16">
        <f>G352*AO352</f>
        <v>0</v>
      </c>
      <c r="J352" s="16">
        <f>G352*AP352</f>
        <v>0</v>
      </c>
      <c r="K352" s="16">
        <f>G352*H352</f>
        <v>0</v>
      </c>
      <c r="L352" s="28" t="s">
        <v>775</v>
      </c>
      <c r="Z352" s="33">
        <f>IF(AQ352="5",BJ352,0)</f>
        <v>0</v>
      </c>
      <c r="AB352" s="33">
        <f>IF(AQ352="1",BH352,0)</f>
        <v>0</v>
      </c>
      <c r="AC352" s="33">
        <f>IF(AQ352="1",BI352,0)</f>
        <v>0</v>
      </c>
      <c r="AD352" s="33">
        <f>IF(AQ352="7",BH352,0)</f>
        <v>0</v>
      </c>
      <c r="AE352" s="33">
        <f>IF(AQ352="7",BI352,0)</f>
        <v>0</v>
      </c>
      <c r="AF352" s="33">
        <f>IF(AQ352="2",BH352,0)</f>
        <v>0</v>
      </c>
      <c r="AG352" s="33">
        <f>IF(AQ352="2",BI352,0)</f>
        <v>0</v>
      </c>
      <c r="AH352" s="33">
        <f>IF(AQ352="0",BJ352,0)</f>
        <v>0</v>
      </c>
      <c r="AI352" s="29"/>
      <c r="AJ352" s="16">
        <f>IF(AN352=0,K352,0)</f>
        <v>0</v>
      </c>
      <c r="AK352" s="16">
        <f>IF(AN352=15,K352,0)</f>
        <v>0</v>
      </c>
      <c r="AL352" s="16">
        <f>IF(AN352=21,K352,0)</f>
        <v>0</v>
      </c>
      <c r="AN352" s="33">
        <v>15</v>
      </c>
      <c r="AO352" s="33">
        <f>H352*0</f>
        <v>0</v>
      </c>
      <c r="AP352" s="33">
        <f>H352*(1-0)</f>
        <v>0</v>
      </c>
      <c r="AQ352" s="28" t="s">
        <v>7</v>
      </c>
      <c r="AV352" s="33">
        <f>AW352+AX352</f>
        <v>0</v>
      </c>
      <c r="AW352" s="33">
        <f>G352*AO352</f>
        <v>0</v>
      </c>
      <c r="AX352" s="33">
        <f>G352*AP352</f>
        <v>0</v>
      </c>
      <c r="AY352" s="34" t="s">
        <v>805</v>
      </c>
      <c r="AZ352" s="34" t="s">
        <v>818</v>
      </c>
      <c r="BA352" s="29" t="s">
        <v>820</v>
      </c>
      <c r="BC352" s="33">
        <f>AW352+AX352</f>
        <v>0</v>
      </c>
      <c r="BD352" s="33">
        <f>H352/(100-BE352)*100</f>
        <v>0</v>
      </c>
      <c r="BE352" s="33">
        <v>0</v>
      </c>
      <c r="BF352" s="33">
        <f>352</f>
        <v>352</v>
      </c>
      <c r="BH352" s="16">
        <f>G352*AO352</f>
        <v>0</v>
      </c>
      <c r="BI352" s="16">
        <f>G352*AP352</f>
        <v>0</v>
      </c>
      <c r="BJ352" s="16">
        <f>G352*H352</f>
        <v>0</v>
      </c>
    </row>
    <row r="353" spans="3:7" ht="10.5" customHeight="1">
      <c r="C353" s="153" t="s">
        <v>382</v>
      </c>
      <c r="D353" s="154"/>
      <c r="E353" s="154"/>
      <c r="G353" s="17">
        <v>2</v>
      </c>
    </row>
    <row r="354" spans="1:62" ht="12.75">
      <c r="A354" s="4" t="s">
        <v>132</v>
      </c>
      <c r="B354" s="4" t="s">
        <v>304</v>
      </c>
      <c r="C354" s="151" t="s">
        <v>639</v>
      </c>
      <c r="D354" s="152"/>
      <c r="E354" s="152"/>
      <c r="F354" s="4" t="s">
        <v>753</v>
      </c>
      <c r="G354" s="16">
        <v>1</v>
      </c>
      <c r="H354" s="16">
        <v>0</v>
      </c>
      <c r="I354" s="16">
        <f>G354*AO354</f>
        <v>0</v>
      </c>
      <c r="J354" s="16">
        <f>G354*AP354</f>
        <v>0</v>
      </c>
      <c r="K354" s="16">
        <f>G354*H354</f>
        <v>0</v>
      </c>
      <c r="L354" s="28" t="s">
        <v>775</v>
      </c>
      <c r="Z354" s="33">
        <f>IF(AQ354="5",BJ354,0)</f>
        <v>0</v>
      </c>
      <c r="AB354" s="33">
        <f>IF(AQ354="1",BH354,0)</f>
        <v>0</v>
      </c>
      <c r="AC354" s="33">
        <f>IF(AQ354="1",BI354,0)</f>
        <v>0</v>
      </c>
      <c r="AD354" s="33">
        <f>IF(AQ354="7",BH354,0)</f>
        <v>0</v>
      </c>
      <c r="AE354" s="33">
        <f>IF(AQ354="7",BI354,0)</f>
        <v>0</v>
      </c>
      <c r="AF354" s="33">
        <f>IF(AQ354="2",BH354,0)</f>
        <v>0</v>
      </c>
      <c r="AG354" s="33">
        <f>IF(AQ354="2",BI354,0)</f>
        <v>0</v>
      </c>
      <c r="AH354" s="33">
        <f>IF(AQ354="0",BJ354,0)</f>
        <v>0</v>
      </c>
      <c r="AI354" s="29"/>
      <c r="AJ354" s="16">
        <f>IF(AN354=0,K354,0)</f>
        <v>0</v>
      </c>
      <c r="AK354" s="16">
        <f>IF(AN354=15,K354,0)</f>
        <v>0</v>
      </c>
      <c r="AL354" s="16">
        <f>IF(AN354=21,K354,0)</f>
        <v>0</v>
      </c>
      <c r="AN354" s="33">
        <v>15</v>
      </c>
      <c r="AO354" s="33">
        <f>H354*0</f>
        <v>0</v>
      </c>
      <c r="AP354" s="33">
        <f>H354*(1-0)</f>
        <v>0</v>
      </c>
      <c r="AQ354" s="28" t="s">
        <v>7</v>
      </c>
      <c r="AV354" s="33">
        <f>AW354+AX354</f>
        <v>0</v>
      </c>
      <c r="AW354" s="33">
        <f>G354*AO354</f>
        <v>0</v>
      </c>
      <c r="AX354" s="33">
        <f>G354*AP354</f>
        <v>0</v>
      </c>
      <c r="AY354" s="34" t="s">
        <v>805</v>
      </c>
      <c r="AZ354" s="34" t="s">
        <v>818</v>
      </c>
      <c r="BA354" s="29" t="s">
        <v>820</v>
      </c>
      <c r="BC354" s="33">
        <f>AW354+AX354</f>
        <v>0</v>
      </c>
      <c r="BD354" s="33">
        <f>H354/(100-BE354)*100</f>
        <v>0</v>
      </c>
      <c r="BE354" s="33">
        <v>0</v>
      </c>
      <c r="BF354" s="33">
        <f>354</f>
        <v>354</v>
      </c>
      <c r="BH354" s="16">
        <f>G354*AO354</f>
        <v>0</v>
      </c>
      <c r="BI354" s="16">
        <f>G354*AP354</f>
        <v>0</v>
      </c>
      <c r="BJ354" s="16">
        <f>G354*H354</f>
        <v>0</v>
      </c>
    </row>
    <row r="355" spans="3:7" ht="10.5" customHeight="1">
      <c r="C355" s="153" t="s">
        <v>429</v>
      </c>
      <c r="D355" s="154"/>
      <c r="E355" s="154"/>
      <c r="G355" s="17">
        <v>1</v>
      </c>
    </row>
    <row r="356" spans="1:62" ht="12.75">
      <c r="A356" s="4" t="s">
        <v>133</v>
      </c>
      <c r="B356" s="4" t="s">
        <v>305</v>
      </c>
      <c r="C356" s="151" t="s">
        <v>640</v>
      </c>
      <c r="D356" s="152"/>
      <c r="E356" s="152"/>
      <c r="F356" s="4" t="s">
        <v>748</v>
      </c>
      <c r="G356" s="16">
        <v>2</v>
      </c>
      <c r="H356" s="16">
        <v>0</v>
      </c>
      <c r="I356" s="16">
        <f>G356*AO356</f>
        <v>0</v>
      </c>
      <c r="J356" s="16">
        <f>G356*AP356</f>
        <v>0</v>
      </c>
      <c r="K356" s="16">
        <f>G356*H356</f>
        <v>0</v>
      </c>
      <c r="L356" s="28" t="s">
        <v>775</v>
      </c>
      <c r="Z356" s="33">
        <f>IF(AQ356="5",BJ356,0)</f>
        <v>0</v>
      </c>
      <c r="AB356" s="33">
        <f>IF(AQ356="1",BH356,0)</f>
        <v>0</v>
      </c>
      <c r="AC356" s="33">
        <f>IF(AQ356="1",BI356,0)</f>
        <v>0</v>
      </c>
      <c r="AD356" s="33">
        <f>IF(AQ356="7",BH356,0)</f>
        <v>0</v>
      </c>
      <c r="AE356" s="33">
        <f>IF(AQ356="7",BI356,0)</f>
        <v>0</v>
      </c>
      <c r="AF356" s="33">
        <f>IF(AQ356="2",BH356,0)</f>
        <v>0</v>
      </c>
      <c r="AG356" s="33">
        <f>IF(AQ356="2",BI356,0)</f>
        <v>0</v>
      </c>
      <c r="AH356" s="33">
        <f>IF(AQ356="0",BJ356,0)</f>
        <v>0</v>
      </c>
      <c r="AI356" s="29"/>
      <c r="AJ356" s="16">
        <f>IF(AN356=0,K356,0)</f>
        <v>0</v>
      </c>
      <c r="AK356" s="16">
        <f>IF(AN356=15,K356,0)</f>
        <v>0</v>
      </c>
      <c r="AL356" s="16">
        <f>IF(AN356=21,K356,0)</f>
        <v>0</v>
      </c>
      <c r="AN356" s="33">
        <v>15</v>
      </c>
      <c r="AO356" s="33">
        <f>H356*0</f>
        <v>0</v>
      </c>
      <c r="AP356" s="33">
        <f>H356*(1-0)</f>
        <v>0</v>
      </c>
      <c r="AQ356" s="28" t="s">
        <v>7</v>
      </c>
      <c r="AV356" s="33">
        <f>AW356+AX356</f>
        <v>0</v>
      </c>
      <c r="AW356" s="33">
        <f>G356*AO356</f>
        <v>0</v>
      </c>
      <c r="AX356" s="33">
        <f>G356*AP356</f>
        <v>0</v>
      </c>
      <c r="AY356" s="34" t="s">
        <v>805</v>
      </c>
      <c r="AZ356" s="34" t="s">
        <v>818</v>
      </c>
      <c r="BA356" s="29" t="s">
        <v>820</v>
      </c>
      <c r="BC356" s="33">
        <f>AW356+AX356</f>
        <v>0</v>
      </c>
      <c r="BD356" s="33">
        <f>H356/(100-BE356)*100</f>
        <v>0</v>
      </c>
      <c r="BE356" s="33">
        <v>0</v>
      </c>
      <c r="BF356" s="33">
        <f>356</f>
        <v>356</v>
      </c>
      <c r="BH356" s="16">
        <f>G356*AO356</f>
        <v>0</v>
      </c>
      <c r="BI356" s="16">
        <f>G356*AP356</f>
        <v>0</v>
      </c>
      <c r="BJ356" s="16">
        <f>G356*H356</f>
        <v>0</v>
      </c>
    </row>
    <row r="357" spans="3:7" ht="10.5" customHeight="1">
      <c r="C357" s="153" t="s">
        <v>382</v>
      </c>
      <c r="D357" s="154"/>
      <c r="E357" s="154"/>
      <c r="G357" s="17">
        <v>2</v>
      </c>
    </row>
    <row r="358" spans="1:62" ht="12.75">
      <c r="A358" s="4" t="s">
        <v>134</v>
      </c>
      <c r="B358" s="4" t="s">
        <v>306</v>
      </c>
      <c r="C358" s="151" t="s">
        <v>641</v>
      </c>
      <c r="D358" s="152"/>
      <c r="E358" s="152"/>
      <c r="F358" s="4" t="s">
        <v>749</v>
      </c>
      <c r="G358" s="16">
        <v>2.76</v>
      </c>
      <c r="H358" s="16">
        <v>0</v>
      </c>
      <c r="I358" s="16">
        <f>G358*AO358</f>
        <v>0</v>
      </c>
      <c r="J358" s="16">
        <f>G358*AP358</f>
        <v>0</v>
      </c>
      <c r="K358" s="16">
        <f>G358*H358</f>
        <v>0</v>
      </c>
      <c r="L358" s="28" t="s">
        <v>775</v>
      </c>
      <c r="Z358" s="33">
        <f>IF(AQ358="5",BJ358,0)</f>
        <v>0</v>
      </c>
      <c r="AB358" s="33">
        <f>IF(AQ358="1",BH358,0)</f>
        <v>0</v>
      </c>
      <c r="AC358" s="33">
        <f>IF(AQ358="1",BI358,0)</f>
        <v>0</v>
      </c>
      <c r="AD358" s="33">
        <f>IF(AQ358="7",BH358,0)</f>
        <v>0</v>
      </c>
      <c r="AE358" s="33">
        <f>IF(AQ358="7",BI358,0)</f>
        <v>0</v>
      </c>
      <c r="AF358" s="33">
        <f>IF(AQ358="2",BH358,0)</f>
        <v>0</v>
      </c>
      <c r="AG358" s="33">
        <f>IF(AQ358="2",BI358,0)</f>
        <v>0</v>
      </c>
      <c r="AH358" s="33">
        <f>IF(AQ358="0",BJ358,0)</f>
        <v>0</v>
      </c>
      <c r="AI358" s="29"/>
      <c r="AJ358" s="16">
        <f>IF(AN358=0,K358,0)</f>
        <v>0</v>
      </c>
      <c r="AK358" s="16">
        <f>IF(AN358=15,K358,0)</f>
        <v>0</v>
      </c>
      <c r="AL358" s="16">
        <f>IF(AN358=21,K358,0)</f>
        <v>0</v>
      </c>
      <c r="AN358" s="33">
        <v>15</v>
      </c>
      <c r="AO358" s="33">
        <f>H358*0.160740740740741</f>
        <v>0</v>
      </c>
      <c r="AP358" s="33">
        <f>H358*(1-0.160740740740741)</f>
        <v>0</v>
      </c>
      <c r="AQ358" s="28" t="s">
        <v>7</v>
      </c>
      <c r="AV358" s="33">
        <f>AW358+AX358</f>
        <v>0</v>
      </c>
      <c r="AW358" s="33">
        <f>G358*AO358</f>
        <v>0</v>
      </c>
      <c r="AX358" s="33">
        <f>G358*AP358</f>
        <v>0</v>
      </c>
      <c r="AY358" s="34" t="s">
        <v>805</v>
      </c>
      <c r="AZ358" s="34" t="s">
        <v>818</v>
      </c>
      <c r="BA358" s="29" t="s">
        <v>820</v>
      </c>
      <c r="BC358" s="33">
        <f>AW358+AX358</f>
        <v>0</v>
      </c>
      <c r="BD358" s="33">
        <f>H358/(100-BE358)*100</f>
        <v>0</v>
      </c>
      <c r="BE358" s="33">
        <v>0</v>
      </c>
      <c r="BF358" s="33">
        <f>358</f>
        <v>358</v>
      </c>
      <c r="BH358" s="16">
        <f>G358*AO358</f>
        <v>0</v>
      </c>
      <c r="BI358" s="16">
        <f>G358*AP358</f>
        <v>0</v>
      </c>
      <c r="BJ358" s="16">
        <f>G358*H358</f>
        <v>0</v>
      </c>
    </row>
    <row r="359" spans="3:7" ht="10.5" customHeight="1">
      <c r="C359" s="153" t="s">
        <v>642</v>
      </c>
      <c r="D359" s="154"/>
      <c r="E359" s="154"/>
      <c r="G359" s="17">
        <v>2.76</v>
      </c>
    </row>
    <row r="360" spans="1:47" ht="12.75">
      <c r="A360" s="5"/>
      <c r="B360" s="13" t="s">
        <v>307</v>
      </c>
      <c r="C360" s="157" t="s">
        <v>643</v>
      </c>
      <c r="D360" s="158"/>
      <c r="E360" s="158"/>
      <c r="F360" s="5" t="s">
        <v>6</v>
      </c>
      <c r="G360" s="5" t="s">
        <v>6</v>
      </c>
      <c r="H360" s="5" t="s">
        <v>6</v>
      </c>
      <c r="I360" s="36">
        <f>SUM(I361:I387)</f>
        <v>0</v>
      </c>
      <c r="J360" s="36">
        <f>SUM(J361:J387)</f>
        <v>0</v>
      </c>
      <c r="K360" s="36">
        <f>SUM(K361:K387)</f>
        <v>0</v>
      </c>
      <c r="L360" s="29"/>
      <c r="AI360" s="29"/>
      <c r="AS360" s="36">
        <f>SUM(AJ361:AJ387)</f>
        <v>0</v>
      </c>
      <c r="AT360" s="36">
        <f>SUM(AK361:AK387)</f>
        <v>0</v>
      </c>
      <c r="AU360" s="36">
        <f>SUM(AL361:AL387)</f>
        <v>0</v>
      </c>
    </row>
    <row r="361" spans="1:62" ht="12.75">
      <c r="A361" s="4" t="s">
        <v>135</v>
      </c>
      <c r="B361" s="4" t="s">
        <v>308</v>
      </c>
      <c r="C361" s="151" t="s">
        <v>644</v>
      </c>
      <c r="D361" s="152"/>
      <c r="E361" s="152"/>
      <c r="F361" s="4" t="s">
        <v>751</v>
      </c>
      <c r="G361" s="16">
        <v>12.946</v>
      </c>
      <c r="H361" s="16">
        <v>0</v>
      </c>
      <c r="I361" s="16">
        <f>G361*AO361</f>
        <v>0</v>
      </c>
      <c r="J361" s="16">
        <f>G361*AP361</f>
        <v>0</v>
      </c>
      <c r="K361" s="16">
        <f>G361*H361</f>
        <v>0</v>
      </c>
      <c r="L361" s="28" t="s">
        <v>775</v>
      </c>
      <c r="Z361" s="33">
        <f>IF(AQ361="5",BJ361,0)</f>
        <v>0</v>
      </c>
      <c r="AB361" s="33">
        <f>IF(AQ361="1",BH361,0)</f>
        <v>0</v>
      </c>
      <c r="AC361" s="33">
        <f>IF(AQ361="1",BI361,0)</f>
        <v>0</v>
      </c>
      <c r="AD361" s="33">
        <f>IF(AQ361="7",BH361,0)</f>
        <v>0</v>
      </c>
      <c r="AE361" s="33">
        <f>IF(AQ361="7",BI361,0)</f>
        <v>0</v>
      </c>
      <c r="AF361" s="33">
        <f>IF(AQ361="2",BH361,0)</f>
        <v>0</v>
      </c>
      <c r="AG361" s="33">
        <f>IF(AQ361="2",BI361,0)</f>
        <v>0</v>
      </c>
      <c r="AH361" s="33">
        <f>IF(AQ361="0",BJ361,0)</f>
        <v>0</v>
      </c>
      <c r="AI361" s="29"/>
      <c r="AJ361" s="16">
        <f>IF(AN361=0,K361,0)</f>
        <v>0</v>
      </c>
      <c r="AK361" s="16">
        <f>IF(AN361=15,K361,0)</f>
        <v>0</v>
      </c>
      <c r="AL361" s="16">
        <f>IF(AN361=21,K361,0)</f>
        <v>0</v>
      </c>
      <c r="AN361" s="33">
        <v>15</v>
      </c>
      <c r="AO361" s="33">
        <f>H361*0</f>
        <v>0</v>
      </c>
      <c r="AP361" s="33">
        <f>H361*(1-0)</f>
        <v>0</v>
      </c>
      <c r="AQ361" s="28" t="s">
        <v>11</v>
      </c>
      <c r="AV361" s="33">
        <f>AW361+AX361</f>
        <v>0</v>
      </c>
      <c r="AW361" s="33">
        <f>G361*AO361</f>
        <v>0</v>
      </c>
      <c r="AX361" s="33">
        <f>G361*AP361</f>
        <v>0</v>
      </c>
      <c r="AY361" s="34" t="s">
        <v>806</v>
      </c>
      <c r="AZ361" s="34" t="s">
        <v>818</v>
      </c>
      <c r="BA361" s="29" t="s">
        <v>820</v>
      </c>
      <c r="BC361" s="33">
        <f>AW361+AX361</f>
        <v>0</v>
      </c>
      <c r="BD361" s="33">
        <f>H361/(100-BE361)*100</f>
        <v>0</v>
      </c>
      <c r="BE361" s="33">
        <v>0</v>
      </c>
      <c r="BF361" s="33">
        <f>361</f>
        <v>361</v>
      </c>
      <c r="BH361" s="16">
        <f>G361*AO361</f>
        <v>0</v>
      </c>
      <c r="BI361" s="16">
        <f>G361*AP361</f>
        <v>0</v>
      </c>
      <c r="BJ361" s="16">
        <f>G361*H361</f>
        <v>0</v>
      </c>
    </row>
    <row r="362" spans="3:7" ht="10.5" customHeight="1">
      <c r="C362" s="153" t="s">
        <v>645</v>
      </c>
      <c r="D362" s="154"/>
      <c r="E362" s="154"/>
      <c r="G362" s="17">
        <v>12.946</v>
      </c>
    </row>
    <row r="363" spans="1:62" ht="12.75">
      <c r="A363" s="4" t="s">
        <v>136</v>
      </c>
      <c r="B363" s="4" t="s">
        <v>309</v>
      </c>
      <c r="C363" s="151" t="s">
        <v>646</v>
      </c>
      <c r="D363" s="152"/>
      <c r="E363" s="152"/>
      <c r="F363" s="4" t="s">
        <v>751</v>
      </c>
      <c r="G363" s="16">
        <v>12.946</v>
      </c>
      <c r="H363" s="16">
        <v>0</v>
      </c>
      <c r="I363" s="16">
        <f>G363*AO363</f>
        <v>0</v>
      </c>
      <c r="J363" s="16">
        <f>G363*AP363</f>
        <v>0</v>
      </c>
      <c r="K363" s="16">
        <f>G363*H363</f>
        <v>0</v>
      </c>
      <c r="L363" s="28" t="s">
        <v>775</v>
      </c>
      <c r="Z363" s="33">
        <f>IF(AQ363="5",BJ363,0)</f>
        <v>0</v>
      </c>
      <c r="AB363" s="33">
        <f>IF(AQ363="1",BH363,0)</f>
        <v>0</v>
      </c>
      <c r="AC363" s="33">
        <f>IF(AQ363="1",BI363,0)</f>
        <v>0</v>
      </c>
      <c r="AD363" s="33">
        <f>IF(AQ363="7",BH363,0)</f>
        <v>0</v>
      </c>
      <c r="AE363" s="33">
        <f>IF(AQ363="7",BI363,0)</f>
        <v>0</v>
      </c>
      <c r="AF363" s="33">
        <f>IF(AQ363="2",BH363,0)</f>
        <v>0</v>
      </c>
      <c r="AG363" s="33">
        <f>IF(AQ363="2",BI363,0)</f>
        <v>0</v>
      </c>
      <c r="AH363" s="33">
        <f>IF(AQ363="0",BJ363,0)</f>
        <v>0</v>
      </c>
      <c r="AI363" s="29"/>
      <c r="AJ363" s="16">
        <f>IF(AN363=0,K363,0)</f>
        <v>0</v>
      </c>
      <c r="AK363" s="16">
        <f>IF(AN363=15,K363,0)</f>
        <v>0</v>
      </c>
      <c r="AL363" s="16">
        <f>IF(AN363=21,K363,0)</f>
        <v>0</v>
      </c>
      <c r="AN363" s="33">
        <v>15</v>
      </c>
      <c r="AO363" s="33">
        <f>H363*0</f>
        <v>0</v>
      </c>
      <c r="AP363" s="33">
        <f>H363*(1-0)</f>
        <v>0</v>
      </c>
      <c r="AQ363" s="28" t="s">
        <v>11</v>
      </c>
      <c r="AV363" s="33">
        <f>AW363+AX363</f>
        <v>0</v>
      </c>
      <c r="AW363" s="33">
        <f>G363*AO363</f>
        <v>0</v>
      </c>
      <c r="AX363" s="33">
        <f>G363*AP363</f>
        <v>0</v>
      </c>
      <c r="AY363" s="34" t="s">
        <v>806</v>
      </c>
      <c r="AZ363" s="34" t="s">
        <v>818</v>
      </c>
      <c r="BA363" s="29" t="s">
        <v>820</v>
      </c>
      <c r="BC363" s="33">
        <f>AW363+AX363</f>
        <v>0</v>
      </c>
      <c r="BD363" s="33">
        <f>H363/(100-BE363)*100</f>
        <v>0</v>
      </c>
      <c r="BE363" s="33">
        <v>0</v>
      </c>
      <c r="BF363" s="33">
        <f>363</f>
        <v>363</v>
      </c>
      <c r="BH363" s="16">
        <f>G363*AO363</f>
        <v>0</v>
      </c>
      <c r="BI363" s="16">
        <f>G363*AP363</f>
        <v>0</v>
      </c>
      <c r="BJ363" s="16">
        <f>G363*H363</f>
        <v>0</v>
      </c>
    </row>
    <row r="364" spans="3:5" ht="12.75">
      <c r="C364" s="155" t="s">
        <v>647</v>
      </c>
      <c r="D364" s="156"/>
      <c r="E364" s="156"/>
    </row>
    <row r="365" spans="3:7" ht="10.5" customHeight="1">
      <c r="C365" s="153" t="s">
        <v>645</v>
      </c>
      <c r="D365" s="154"/>
      <c r="E365" s="154"/>
      <c r="G365" s="17">
        <v>12.946</v>
      </c>
    </row>
    <row r="366" spans="1:62" ht="12.75">
      <c r="A366" s="4" t="s">
        <v>137</v>
      </c>
      <c r="B366" s="4" t="s">
        <v>310</v>
      </c>
      <c r="C366" s="151" t="s">
        <v>648</v>
      </c>
      <c r="D366" s="152"/>
      <c r="E366" s="152"/>
      <c r="F366" s="4" t="s">
        <v>751</v>
      </c>
      <c r="G366" s="16">
        <v>129.46</v>
      </c>
      <c r="H366" s="16">
        <v>0</v>
      </c>
      <c r="I366" s="16">
        <f>G366*AO366</f>
        <v>0</v>
      </c>
      <c r="J366" s="16">
        <f>G366*AP366</f>
        <v>0</v>
      </c>
      <c r="K366" s="16">
        <f>G366*H366</f>
        <v>0</v>
      </c>
      <c r="L366" s="28" t="s">
        <v>775</v>
      </c>
      <c r="Z366" s="33">
        <f>IF(AQ366="5",BJ366,0)</f>
        <v>0</v>
      </c>
      <c r="AB366" s="33">
        <f>IF(AQ366="1",BH366,0)</f>
        <v>0</v>
      </c>
      <c r="AC366" s="33">
        <f>IF(AQ366="1",BI366,0)</f>
        <v>0</v>
      </c>
      <c r="AD366" s="33">
        <f>IF(AQ366="7",BH366,0)</f>
        <v>0</v>
      </c>
      <c r="AE366" s="33">
        <f>IF(AQ366="7",BI366,0)</f>
        <v>0</v>
      </c>
      <c r="AF366" s="33">
        <f>IF(AQ366="2",BH366,0)</f>
        <v>0</v>
      </c>
      <c r="AG366" s="33">
        <f>IF(AQ366="2",BI366,0)</f>
        <v>0</v>
      </c>
      <c r="AH366" s="33">
        <f>IF(AQ366="0",BJ366,0)</f>
        <v>0</v>
      </c>
      <c r="AI366" s="29"/>
      <c r="AJ366" s="16">
        <f>IF(AN366=0,K366,0)</f>
        <v>0</v>
      </c>
      <c r="AK366" s="16">
        <f>IF(AN366=15,K366,0)</f>
        <v>0</v>
      </c>
      <c r="AL366" s="16">
        <f>IF(AN366=21,K366,0)</f>
        <v>0</v>
      </c>
      <c r="AN366" s="33">
        <v>15</v>
      </c>
      <c r="AO366" s="33">
        <f>H366*0</f>
        <v>0</v>
      </c>
      <c r="AP366" s="33">
        <f>H366*(1-0)</f>
        <v>0</v>
      </c>
      <c r="AQ366" s="28" t="s">
        <v>11</v>
      </c>
      <c r="AV366" s="33">
        <f>AW366+AX366</f>
        <v>0</v>
      </c>
      <c r="AW366" s="33">
        <f>G366*AO366</f>
        <v>0</v>
      </c>
      <c r="AX366" s="33">
        <f>G366*AP366</f>
        <v>0</v>
      </c>
      <c r="AY366" s="34" t="s">
        <v>806</v>
      </c>
      <c r="AZ366" s="34" t="s">
        <v>818</v>
      </c>
      <c r="BA366" s="29" t="s">
        <v>820</v>
      </c>
      <c r="BC366" s="33">
        <f>AW366+AX366</f>
        <v>0</v>
      </c>
      <c r="BD366" s="33">
        <f>H366/(100-BE366)*100</f>
        <v>0</v>
      </c>
      <c r="BE366" s="33">
        <v>0</v>
      </c>
      <c r="BF366" s="33">
        <f>366</f>
        <v>366</v>
      </c>
      <c r="BH366" s="16">
        <f>G366*AO366</f>
        <v>0</v>
      </c>
      <c r="BI366" s="16">
        <f>G366*AP366</f>
        <v>0</v>
      </c>
      <c r="BJ366" s="16">
        <f>G366*H366</f>
        <v>0</v>
      </c>
    </row>
    <row r="367" spans="3:5" ht="12.75">
      <c r="C367" s="155" t="s">
        <v>647</v>
      </c>
      <c r="D367" s="156"/>
      <c r="E367" s="156"/>
    </row>
    <row r="368" spans="3:7" ht="10.5" customHeight="1">
      <c r="C368" s="153" t="s">
        <v>649</v>
      </c>
      <c r="D368" s="154"/>
      <c r="E368" s="154"/>
      <c r="G368" s="17">
        <v>129.46</v>
      </c>
    </row>
    <row r="369" spans="1:62" ht="12.75">
      <c r="A369" s="4" t="s">
        <v>138</v>
      </c>
      <c r="B369" s="4" t="s">
        <v>311</v>
      </c>
      <c r="C369" s="151" t="s">
        <v>650</v>
      </c>
      <c r="D369" s="152"/>
      <c r="E369" s="152"/>
      <c r="F369" s="4" t="s">
        <v>751</v>
      </c>
      <c r="G369" s="16">
        <v>12.946</v>
      </c>
      <c r="H369" s="16">
        <v>0</v>
      </c>
      <c r="I369" s="16">
        <f>G369*AO369</f>
        <v>0</v>
      </c>
      <c r="J369" s="16">
        <f>G369*AP369</f>
        <v>0</v>
      </c>
      <c r="K369" s="16">
        <f>G369*H369</f>
        <v>0</v>
      </c>
      <c r="L369" s="28" t="s">
        <v>775</v>
      </c>
      <c r="Z369" s="33">
        <f>IF(AQ369="5",BJ369,0)</f>
        <v>0</v>
      </c>
      <c r="AB369" s="33">
        <f>IF(AQ369="1",BH369,0)</f>
        <v>0</v>
      </c>
      <c r="AC369" s="33">
        <f>IF(AQ369="1",BI369,0)</f>
        <v>0</v>
      </c>
      <c r="AD369" s="33">
        <f>IF(AQ369="7",BH369,0)</f>
        <v>0</v>
      </c>
      <c r="AE369" s="33">
        <f>IF(AQ369="7",BI369,0)</f>
        <v>0</v>
      </c>
      <c r="AF369" s="33">
        <f>IF(AQ369="2",BH369,0)</f>
        <v>0</v>
      </c>
      <c r="AG369" s="33">
        <f>IF(AQ369="2",BI369,0)</f>
        <v>0</v>
      </c>
      <c r="AH369" s="33">
        <f>IF(AQ369="0",BJ369,0)</f>
        <v>0</v>
      </c>
      <c r="AI369" s="29"/>
      <c r="AJ369" s="16">
        <f>IF(AN369=0,K369,0)</f>
        <v>0</v>
      </c>
      <c r="AK369" s="16">
        <f>IF(AN369=15,K369,0)</f>
        <v>0</v>
      </c>
      <c r="AL369" s="16">
        <f>IF(AN369=21,K369,0)</f>
        <v>0</v>
      </c>
      <c r="AN369" s="33">
        <v>15</v>
      </c>
      <c r="AO369" s="33">
        <f>H369*0</f>
        <v>0</v>
      </c>
      <c r="AP369" s="33">
        <f>H369*(1-0)</f>
        <v>0</v>
      </c>
      <c r="AQ369" s="28" t="s">
        <v>11</v>
      </c>
      <c r="AV369" s="33">
        <f>AW369+AX369</f>
        <v>0</v>
      </c>
      <c r="AW369" s="33">
        <f>G369*AO369</f>
        <v>0</v>
      </c>
      <c r="AX369" s="33">
        <f>G369*AP369</f>
        <v>0</v>
      </c>
      <c r="AY369" s="34" t="s">
        <v>806</v>
      </c>
      <c r="AZ369" s="34" t="s">
        <v>818</v>
      </c>
      <c r="BA369" s="29" t="s">
        <v>820</v>
      </c>
      <c r="BC369" s="33">
        <f>AW369+AX369</f>
        <v>0</v>
      </c>
      <c r="BD369" s="33">
        <f>H369/(100-BE369)*100</f>
        <v>0</v>
      </c>
      <c r="BE369" s="33">
        <v>0</v>
      </c>
      <c r="BF369" s="33">
        <f>369</f>
        <v>369</v>
      </c>
      <c r="BH369" s="16">
        <f>G369*AO369</f>
        <v>0</v>
      </c>
      <c r="BI369" s="16">
        <f>G369*AP369</f>
        <v>0</v>
      </c>
      <c r="BJ369" s="16">
        <f>G369*H369</f>
        <v>0</v>
      </c>
    </row>
    <row r="370" spans="3:7" ht="10.5" customHeight="1">
      <c r="C370" s="153" t="s">
        <v>645</v>
      </c>
      <c r="D370" s="154"/>
      <c r="E370" s="154"/>
      <c r="G370" s="17">
        <v>12.946</v>
      </c>
    </row>
    <row r="371" spans="1:62" ht="12.75">
      <c r="A371" s="4" t="s">
        <v>139</v>
      </c>
      <c r="B371" s="4" t="s">
        <v>312</v>
      </c>
      <c r="C371" s="151" t="s">
        <v>651</v>
      </c>
      <c r="D371" s="152"/>
      <c r="E371" s="152"/>
      <c r="F371" s="4" t="s">
        <v>751</v>
      </c>
      <c r="G371" s="16">
        <v>12.946</v>
      </c>
      <c r="H371" s="16">
        <v>0</v>
      </c>
      <c r="I371" s="16">
        <f>G371*AO371</f>
        <v>0</v>
      </c>
      <c r="J371" s="16">
        <f>G371*AP371</f>
        <v>0</v>
      </c>
      <c r="K371" s="16">
        <f>G371*H371</f>
        <v>0</v>
      </c>
      <c r="L371" s="28" t="s">
        <v>775</v>
      </c>
      <c r="Z371" s="33">
        <f>IF(AQ371="5",BJ371,0)</f>
        <v>0</v>
      </c>
      <c r="AB371" s="33">
        <f>IF(AQ371="1",BH371,0)</f>
        <v>0</v>
      </c>
      <c r="AC371" s="33">
        <f>IF(AQ371="1",BI371,0)</f>
        <v>0</v>
      </c>
      <c r="AD371" s="33">
        <f>IF(AQ371="7",BH371,0)</f>
        <v>0</v>
      </c>
      <c r="AE371" s="33">
        <f>IF(AQ371="7",BI371,0)</f>
        <v>0</v>
      </c>
      <c r="AF371" s="33">
        <f>IF(AQ371="2",BH371,0)</f>
        <v>0</v>
      </c>
      <c r="AG371" s="33">
        <f>IF(AQ371="2",BI371,0)</f>
        <v>0</v>
      </c>
      <c r="AH371" s="33">
        <f>IF(AQ371="0",BJ371,0)</f>
        <v>0</v>
      </c>
      <c r="AI371" s="29"/>
      <c r="AJ371" s="16">
        <f>IF(AN371=0,K371,0)</f>
        <v>0</v>
      </c>
      <c r="AK371" s="16">
        <f>IF(AN371=15,K371,0)</f>
        <v>0</v>
      </c>
      <c r="AL371" s="16">
        <f>IF(AN371=21,K371,0)</f>
        <v>0</v>
      </c>
      <c r="AN371" s="33">
        <v>15</v>
      </c>
      <c r="AO371" s="33">
        <f>H371*0</f>
        <v>0</v>
      </c>
      <c r="AP371" s="33">
        <f>H371*(1-0)</f>
        <v>0</v>
      </c>
      <c r="AQ371" s="28" t="s">
        <v>11</v>
      </c>
      <c r="AV371" s="33">
        <f>AW371+AX371</f>
        <v>0</v>
      </c>
      <c r="AW371" s="33">
        <f>G371*AO371</f>
        <v>0</v>
      </c>
      <c r="AX371" s="33">
        <f>G371*AP371</f>
        <v>0</v>
      </c>
      <c r="AY371" s="34" t="s">
        <v>806</v>
      </c>
      <c r="AZ371" s="34" t="s">
        <v>818</v>
      </c>
      <c r="BA371" s="29" t="s">
        <v>820</v>
      </c>
      <c r="BC371" s="33">
        <f>AW371+AX371</f>
        <v>0</v>
      </c>
      <c r="BD371" s="33">
        <f>H371/(100-BE371)*100</f>
        <v>0</v>
      </c>
      <c r="BE371" s="33">
        <v>0</v>
      </c>
      <c r="BF371" s="33">
        <f>371</f>
        <v>371</v>
      </c>
      <c r="BH371" s="16">
        <f>G371*AO371</f>
        <v>0</v>
      </c>
      <c r="BI371" s="16">
        <f>G371*AP371</f>
        <v>0</v>
      </c>
      <c r="BJ371" s="16">
        <f>G371*H371</f>
        <v>0</v>
      </c>
    </row>
    <row r="372" spans="3:7" ht="10.5" customHeight="1">
      <c r="C372" s="153" t="s">
        <v>652</v>
      </c>
      <c r="D372" s="154"/>
      <c r="E372" s="154"/>
      <c r="G372" s="17">
        <v>12.946</v>
      </c>
    </row>
    <row r="373" spans="1:62" ht="12.75">
      <c r="A373" s="4" t="s">
        <v>140</v>
      </c>
      <c r="B373" s="4" t="s">
        <v>313</v>
      </c>
      <c r="C373" s="151" t="s">
        <v>653</v>
      </c>
      <c r="D373" s="152"/>
      <c r="E373" s="152"/>
      <c r="F373" s="4" t="s">
        <v>751</v>
      </c>
      <c r="G373" s="16">
        <v>12.946</v>
      </c>
      <c r="H373" s="16">
        <v>0</v>
      </c>
      <c r="I373" s="16">
        <f>G373*AO373</f>
        <v>0</v>
      </c>
      <c r="J373" s="16">
        <f>G373*AP373</f>
        <v>0</v>
      </c>
      <c r="K373" s="16">
        <f>G373*H373</f>
        <v>0</v>
      </c>
      <c r="L373" s="28" t="s">
        <v>775</v>
      </c>
      <c r="Z373" s="33">
        <f>IF(AQ373="5",BJ373,0)</f>
        <v>0</v>
      </c>
      <c r="AB373" s="33">
        <f>IF(AQ373="1",BH373,0)</f>
        <v>0</v>
      </c>
      <c r="AC373" s="33">
        <f>IF(AQ373="1",BI373,0)</f>
        <v>0</v>
      </c>
      <c r="AD373" s="33">
        <f>IF(AQ373="7",BH373,0)</f>
        <v>0</v>
      </c>
      <c r="AE373" s="33">
        <f>IF(AQ373="7",BI373,0)</f>
        <v>0</v>
      </c>
      <c r="AF373" s="33">
        <f>IF(AQ373="2",BH373,0)</f>
        <v>0</v>
      </c>
      <c r="AG373" s="33">
        <f>IF(AQ373="2",BI373,0)</f>
        <v>0</v>
      </c>
      <c r="AH373" s="33">
        <f>IF(AQ373="0",BJ373,0)</f>
        <v>0</v>
      </c>
      <c r="AI373" s="29"/>
      <c r="AJ373" s="16">
        <f>IF(AN373=0,K373,0)</f>
        <v>0</v>
      </c>
      <c r="AK373" s="16">
        <f>IF(AN373=15,K373,0)</f>
        <v>0</v>
      </c>
      <c r="AL373" s="16">
        <f>IF(AN373=21,K373,0)</f>
        <v>0</v>
      </c>
      <c r="AN373" s="33">
        <v>15</v>
      </c>
      <c r="AO373" s="33">
        <f>H373*0</f>
        <v>0</v>
      </c>
      <c r="AP373" s="33">
        <f>H373*(1-0)</f>
        <v>0</v>
      </c>
      <c r="AQ373" s="28" t="s">
        <v>11</v>
      </c>
      <c r="AV373" s="33">
        <f>AW373+AX373</f>
        <v>0</v>
      </c>
      <c r="AW373" s="33">
        <f>G373*AO373</f>
        <v>0</v>
      </c>
      <c r="AX373" s="33">
        <f>G373*AP373</f>
        <v>0</v>
      </c>
      <c r="AY373" s="34" t="s">
        <v>806</v>
      </c>
      <c r="AZ373" s="34" t="s">
        <v>818</v>
      </c>
      <c r="BA373" s="29" t="s">
        <v>820</v>
      </c>
      <c r="BC373" s="33">
        <f>AW373+AX373</f>
        <v>0</v>
      </c>
      <c r="BD373" s="33">
        <f>H373/(100-BE373)*100</f>
        <v>0</v>
      </c>
      <c r="BE373" s="33">
        <v>0</v>
      </c>
      <c r="BF373" s="33">
        <f>373</f>
        <v>373</v>
      </c>
      <c r="BH373" s="16">
        <f>G373*AO373</f>
        <v>0</v>
      </c>
      <c r="BI373" s="16">
        <f>G373*AP373</f>
        <v>0</v>
      </c>
      <c r="BJ373" s="16">
        <f>G373*H373</f>
        <v>0</v>
      </c>
    </row>
    <row r="374" spans="3:7" ht="10.5" customHeight="1">
      <c r="C374" s="153" t="s">
        <v>645</v>
      </c>
      <c r="D374" s="154"/>
      <c r="E374" s="154"/>
      <c r="G374" s="17">
        <v>12.946</v>
      </c>
    </row>
    <row r="375" spans="1:62" ht="12.75">
      <c r="A375" s="4" t="s">
        <v>141</v>
      </c>
      <c r="B375" s="4" t="s">
        <v>314</v>
      </c>
      <c r="C375" s="151" t="s">
        <v>654</v>
      </c>
      <c r="D375" s="152"/>
      <c r="E375" s="152"/>
      <c r="F375" s="4" t="s">
        <v>751</v>
      </c>
      <c r="G375" s="16">
        <v>103.568</v>
      </c>
      <c r="H375" s="16">
        <v>0</v>
      </c>
      <c r="I375" s="16">
        <f>G375*AO375</f>
        <v>0</v>
      </c>
      <c r="J375" s="16">
        <f>G375*AP375</f>
        <v>0</v>
      </c>
      <c r="K375" s="16">
        <f>G375*H375</f>
        <v>0</v>
      </c>
      <c r="L375" s="28" t="s">
        <v>775</v>
      </c>
      <c r="Z375" s="33">
        <f>IF(AQ375="5",BJ375,0)</f>
        <v>0</v>
      </c>
      <c r="AB375" s="33">
        <f>IF(AQ375="1",BH375,0)</f>
        <v>0</v>
      </c>
      <c r="AC375" s="33">
        <f>IF(AQ375="1",BI375,0)</f>
        <v>0</v>
      </c>
      <c r="AD375" s="33">
        <f>IF(AQ375="7",BH375,0)</f>
        <v>0</v>
      </c>
      <c r="AE375" s="33">
        <f>IF(AQ375="7",BI375,0)</f>
        <v>0</v>
      </c>
      <c r="AF375" s="33">
        <f>IF(AQ375="2",BH375,0)</f>
        <v>0</v>
      </c>
      <c r="AG375" s="33">
        <f>IF(AQ375="2",BI375,0)</f>
        <v>0</v>
      </c>
      <c r="AH375" s="33">
        <f>IF(AQ375="0",BJ375,0)</f>
        <v>0</v>
      </c>
      <c r="AI375" s="29"/>
      <c r="AJ375" s="16">
        <f>IF(AN375=0,K375,0)</f>
        <v>0</v>
      </c>
      <c r="AK375" s="16">
        <f>IF(AN375=15,K375,0)</f>
        <v>0</v>
      </c>
      <c r="AL375" s="16">
        <f>IF(AN375=21,K375,0)</f>
        <v>0</v>
      </c>
      <c r="AN375" s="33">
        <v>15</v>
      </c>
      <c r="AO375" s="33">
        <f>H375*0</f>
        <v>0</v>
      </c>
      <c r="AP375" s="33">
        <f>H375*(1-0)</f>
        <v>0</v>
      </c>
      <c r="AQ375" s="28" t="s">
        <v>11</v>
      </c>
      <c r="AV375" s="33">
        <f>AW375+AX375</f>
        <v>0</v>
      </c>
      <c r="AW375" s="33">
        <f>G375*AO375</f>
        <v>0</v>
      </c>
      <c r="AX375" s="33">
        <f>G375*AP375</f>
        <v>0</v>
      </c>
      <c r="AY375" s="34" t="s">
        <v>806</v>
      </c>
      <c r="AZ375" s="34" t="s">
        <v>818</v>
      </c>
      <c r="BA375" s="29" t="s">
        <v>820</v>
      </c>
      <c r="BC375" s="33">
        <f>AW375+AX375</f>
        <v>0</v>
      </c>
      <c r="BD375" s="33">
        <f>H375/(100-BE375)*100</f>
        <v>0</v>
      </c>
      <c r="BE375" s="33">
        <v>0</v>
      </c>
      <c r="BF375" s="33">
        <f>375</f>
        <v>375</v>
      </c>
      <c r="BH375" s="16">
        <f>G375*AO375</f>
        <v>0</v>
      </c>
      <c r="BI375" s="16">
        <f>G375*AP375</f>
        <v>0</v>
      </c>
      <c r="BJ375" s="16">
        <f>G375*H375</f>
        <v>0</v>
      </c>
    </row>
    <row r="376" spans="3:7" ht="10.5" customHeight="1">
      <c r="C376" s="153" t="s">
        <v>655</v>
      </c>
      <c r="D376" s="154"/>
      <c r="E376" s="154"/>
      <c r="G376" s="17">
        <v>103.568</v>
      </c>
    </row>
    <row r="377" spans="1:62" ht="12.75">
      <c r="A377" s="4" t="s">
        <v>142</v>
      </c>
      <c r="B377" s="4" t="s">
        <v>315</v>
      </c>
      <c r="C377" s="151" t="s">
        <v>656</v>
      </c>
      <c r="D377" s="152"/>
      <c r="E377" s="152"/>
      <c r="F377" s="4" t="s">
        <v>751</v>
      </c>
      <c r="G377" s="16">
        <v>9.51</v>
      </c>
      <c r="H377" s="16">
        <v>0</v>
      </c>
      <c r="I377" s="16">
        <f>G377*AO377</f>
        <v>0</v>
      </c>
      <c r="J377" s="16">
        <f>G377*AP377</f>
        <v>0</v>
      </c>
      <c r="K377" s="16">
        <f>G377*H377</f>
        <v>0</v>
      </c>
      <c r="L377" s="28" t="s">
        <v>775</v>
      </c>
      <c r="Z377" s="33">
        <f>IF(AQ377="5",BJ377,0)</f>
        <v>0</v>
      </c>
      <c r="AB377" s="33">
        <f>IF(AQ377="1",BH377,0)</f>
        <v>0</v>
      </c>
      <c r="AC377" s="33">
        <f>IF(AQ377="1",BI377,0)</f>
        <v>0</v>
      </c>
      <c r="AD377" s="33">
        <f>IF(AQ377="7",BH377,0)</f>
        <v>0</v>
      </c>
      <c r="AE377" s="33">
        <f>IF(AQ377="7",BI377,0)</f>
        <v>0</v>
      </c>
      <c r="AF377" s="33">
        <f>IF(AQ377="2",BH377,0)</f>
        <v>0</v>
      </c>
      <c r="AG377" s="33">
        <f>IF(AQ377="2",BI377,0)</f>
        <v>0</v>
      </c>
      <c r="AH377" s="33">
        <f>IF(AQ377="0",BJ377,0)</f>
        <v>0</v>
      </c>
      <c r="AI377" s="29"/>
      <c r="AJ377" s="16">
        <f>IF(AN377=0,K377,0)</f>
        <v>0</v>
      </c>
      <c r="AK377" s="16">
        <f>IF(AN377=15,K377,0)</f>
        <v>0</v>
      </c>
      <c r="AL377" s="16">
        <f>IF(AN377=21,K377,0)</f>
        <v>0</v>
      </c>
      <c r="AN377" s="33">
        <v>15</v>
      </c>
      <c r="AO377" s="33">
        <f>H377*0</f>
        <v>0</v>
      </c>
      <c r="AP377" s="33">
        <f>H377*(1-0)</f>
        <v>0</v>
      </c>
      <c r="AQ377" s="28" t="s">
        <v>11</v>
      </c>
      <c r="AV377" s="33">
        <f>AW377+AX377</f>
        <v>0</v>
      </c>
      <c r="AW377" s="33">
        <f>G377*AO377</f>
        <v>0</v>
      </c>
      <c r="AX377" s="33">
        <f>G377*AP377</f>
        <v>0</v>
      </c>
      <c r="AY377" s="34" t="s">
        <v>806</v>
      </c>
      <c r="AZ377" s="34" t="s">
        <v>818</v>
      </c>
      <c r="BA377" s="29" t="s">
        <v>820</v>
      </c>
      <c r="BC377" s="33">
        <f>AW377+AX377</f>
        <v>0</v>
      </c>
      <c r="BD377" s="33">
        <f>H377/(100-BE377)*100</f>
        <v>0</v>
      </c>
      <c r="BE377" s="33">
        <v>0</v>
      </c>
      <c r="BF377" s="33">
        <f>377</f>
        <v>377</v>
      </c>
      <c r="BH377" s="16">
        <f>G377*AO377</f>
        <v>0</v>
      </c>
      <c r="BI377" s="16">
        <f>G377*AP377</f>
        <v>0</v>
      </c>
      <c r="BJ377" s="16">
        <f>G377*H377</f>
        <v>0</v>
      </c>
    </row>
    <row r="378" spans="3:7" ht="10.5" customHeight="1">
      <c r="C378" s="153" t="s">
        <v>657</v>
      </c>
      <c r="D378" s="154"/>
      <c r="E378" s="154"/>
      <c r="G378" s="17">
        <v>9.51</v>
      </c>
    </row>
    <row r="379" spans="1:62" ht="12.75">
      <c r="A379" s="4" t="s">
        <v>143</v>
      </c>
      <c r="B379" s="4" t="s">
        <v>316</v>
      </c>
      <c r="C379" s="151" t="s">
        <v>658</v>
      </c>
      <c r="D379" s="152"/>
      <c r="E379" s="152"/>
      <c r="F379" s="4" t="s">
        <v>751</v>
      </c>
      <c r="G379" s="16">
        <v>1.817</v>
      </c>
      <c r="H379" s="16">
        <v>0</v>
      </c>
      <c r="I379" s="16">
        <f>G379*AO379</f>
        <v>0</v>
      </c>
      <c r="J379" s="16">
        <f>G379*AP379</f>
        <v>0</v>
      </c>
      <c r="K379" s="16">
        <f>G379*H379</f>
        <v>0</v>
      </c>
      <c r="L379" s="28" t="s">
        <v>775</v>
      </c>
      <c r="Z379" s="33">
        <f>IF(AQ379="5",BJ379,0)</f>
        <v>0</v>
      </c>
      <c r="AB379" s="33">
        <f>IF(AQ379="1",BH379,0)</f>
        <v>0</v>
      </c>
      <c r="AC379" s="33">
        <f>IF(AQ379="1",BI379,0)</f>
        <v>0</v>
      </c>
      <c r="AD379" s="33">
        <f>IF(AQ379="7",BH379,0)</f>
        <v>0</v>
      </c>
      <c r="AE379" s="33">
        <f>IF(AQ379="7",BI379,0)</f>
        <v>0</v>
      </c>
      <c r="AF379" s="33">
        <f>IF(AQ379="2",BH379,0)</f>
        <v>0</v>
      </c>
      <c r="AG379" s="33">
        <f>IF(AQ379="2",BI379,0)</f>
        <v>0</v>
      </c>
      <c r="AH379" s="33">
        <f>IF(AQ379="0",BJ379,0)</f>
        <v>0</v>
      </c>
      <c r="AI379" s="29"/>
      <c r="AJ379" s="16">
        <f>IF(AN379=0,K379,0)</f>
        <v>0</v>
      </c>
      <c r="AK379" s="16">
        <f>IF(AN379=15,K379,0)</f>
        <v>0</v>
      </c>
      <c r="AL379" s="16">
        <f>IF(AN379=21,K379,0)</f>
        <v>0</v>
      </c>
      <c r="AN379" s="33">
        <v>15</v>
      </c>
      <c r="AO379" s="33">
        <f>H379*0</f>
        <v>0</v>
      </c>
      <c r="AP379" s="33">
        <f>H379*(1-0)</f>
        <v>0</v>
      </c>
      <c r="AQ379" s="28" t="s">
        <v>11</v>
      </c>
      <c r="AV379" s="33">
        <f>AW379+AX379</f>
        <v>0</v>
      </c>
      <c r="AW379" s="33">
        <f>G379*AO379</f>
        <v>0</v>
      </c>
      <c r="AX379" s="33">
        <f>G379*AP379</f>
        <v>0</v>
      </c>
      <c r="AY379" s="34" t="s">
        <v>806</v>
      </c>
      <c r="AZ379" s="34" t="s">
        <v>818</v>
      </c>
      <c r="BA379" s="29" t="s">
        <v>820</v>
      </c>
      <c r="BC379" s="33">
        <f>AW379+AX379</f>
        <v>0</v>
      </c>
      <c r="BD379" s="33">
        <f>H379/(100-BE379)*100</f>
        <v>0</v>
      </c>
      <c r="BE379" s="33">
        <v>0</v>
      </c>
      <c r="BF379" s="33">
        <f>379</f>
        <v>379</v>
      </c>
      <c r="BH379" s="16">
        <f>G379*AO379</f>
        <v>0</v>
      </c>
      <c r="BI379" s="16">
        <f>G379*AP379</f>
        <v>0</v>
      </c>
      <c r="BJ379" s="16">
        <f>G379*H379</f>
        <v>0</v>
      </c>
    </row>
    <row r="380" spans="3:7" ht="10.5" customHeight="1">
      <c r="C380" s="153" t="s">
        <v>659</v>
      </c>
      <c r="D380" s="154"/>
      <c r="E380" s="154"/>
      <c r="G380" s="17">
        <v>1.817</v>
      </c>
    </row>
    <row r="381" spans="1:62" ht="12.75">
      <c r="A381" s="4" t="s">
        <v>144</v>
      </c>
      <c r="B381" s="4" t="s">
        <v>317</v>
      </c>
      <c r="C381" s="151" t="s">
        <v>660</v>
      </c>
      <c r="D381" s="152"/>
      <c r="E381" s="152"/>
      <c r="F381" s="4" t="s">
        <v>751</v>
      </c>
      <c r="G381" s="16">
        <v>0.757</v>
      </c>
      <c r="H381" s="16">
        <v>0</v>
      </c>
      <c r="I381" s="16">
        <f>G381*AO381</f>
        <v>0</v>
      </c>
      <c r="J381" s="16">
        <f>G381*AP381</f>
        <v>0</v>
      </c>
      <c r="K381" s="16">
        <f>G381*H381</f>
        <v>0</v>
      </c>
      <c r="L381" s="28" t="s">
        <v>775</v>
      </c>
      <c r="Z381" s="33">
        <f>IF(AQ381="5",BJ381,0)</f>
        <v>0</v>
      </c>
      <c r="AB381" s="33">
        <f>IF(AQ381="1",BH381,0)</f>
        <v>0</v>
      </c>
      <c r="AC381" s="33">
        <f>IF(AQ381="1",BI381,0)</f>
        <v>0</v>
      </c>
      <c r="AD381" s="33">
        <f>IF(AQ381="7",BH381,0)</f>
        <v>0</v>
      </c>
      <c r="AE381" s="33">
        <f>IF(AQ381="7",BI381,0)</f>
        <v>0</v>
      </c>
      <c r="AF381" s="33">
        <f>IF(AQ381="2",BH381,0)</f>
        <v>0</v>
      </c>
      <c r="AG381" s="33">
        <f>IF(AQ381="2",BI381,0)</f>
        <v>0</v>
      </c>
      <c r="AH381" s="33">
        <f>IF(AQ381="0",BJ381,0)</f>
        <v>0</v>
      </c>
      <c r="AI381" s="29"/>
      <c r="AJ381" s="16">
        <f>IF(AN381=0,K381,0)</f>
        <v>0</v>
      </c>
      <c r="AK381" s="16">
        <f>IF(AN381=15,K381,0)</f>
        <v>0</v>
      </c>
      <c r="AL381" s="16">
        <f>IF(AN381=21,K381,0)</f>
        <v>0</v>
      </c>
      <c r="AN381" s="33">
        <v>15</v>
      </c>
      <c r="AO381" s="33">
        <f>H381*0</f>
        <v>0</v>
      </c>
      <c r="AP381" s="33">
        <f>H381*(1-0)</f>
        <v>0</v>
      </c>
      <c r="AQ381" s="28" t="s">
        <v>11</v>
      </c>
      <c r="AV381" s="33">
        <f>AW381+AX381</f>
        <v>0</v>
      </c>
      <c r="AW381" s="33">
        <f>G381*AO381</f>
        <v>0</v>
      </c>
      <c r="AX381" s="33">
        <f>G381*AP381</f>
        <v>0</v>
      </c>
      <c r="AY381" s="34" t="s">
        <v>806</v>
      </c>
      <c r="AZ381" s="34" t="s">
        <v>818</v>
      </c>
      <c r="BA381" s="29" t="s">
        <v>820</v>
      </c>
      <c r="BC381" s="33">
        <f>AW381+AX381</f>
        <v>0</v>
      </c>
      <c r="BD381" s="33">
        <f>H381/(100-BE381)*100</f>
        <v>0</v>
      </c>
      <c r="BE381" s="33">
        <v>0</v>
      </c>
      <c r="BF381" s="33">
        <f>381</f>
        <v>381</v>
      </c>
      <c r="BH381" s="16">
        <f>G381*AO381</f>
        <v>0</v>
      </c>
      <c r="BI381" s="16">
        <f>G381*AP381</f>
        <v>0</v>
      </c>
      <c r="BJ381" s="16">
        <f>G381*H381</f>
        <v>0</v>
      </c>
    </row>
    <row r="382" spans="3:7" ht="10.5" customHeight="1">
      <c r="C382" s="153" t="s">
        <v>661</v>
      </c>
      <c r="D382" s="154"/>
      <c r="E382" s="154"/>
      <c r="G382" s="17">
        <v>0.757</v>
      </c>
    </row>
    <row r="383" spans="1:62" ht="12.75">
      <c r="A383" s="4" t="s">
        <v>145</v>
      </c>
      <c r="B383" s="4" t="s">
        <v>318</v>
      </c>
      <c r="C383" s="151" t="s">
        <v>662</v>
      </c>
      <c r="D383" s="152"/>
      <c r="E383" s="152"/>
      <c r="F383" s="4" t="s">
        <v>751</v>
      </c>
      <c r="G383" s="16">
        <v>0.4424</v>
      </c>
      <c r="H383" s="16">
        <v>0</v>
      </c>
      <c r="I383" s="16">
        <f>G383*AO383</f>
        <v>0</v>
      </c>
      <c r="J383" s="16">
        <f>G383*AP383</f>
        <v>0</v>
      </c>
      <c r="K383" s="16">
        <f>G383*H383</f>
        <v>0</v>
      </c>
      <c r="L383" s="28" t="s">
        <v>775</v>
      </c>
      <c r="Z383" s="33">
        <f>IF(AQ383="5",BJ383,0)</f>
        <v>0</v>
      </c>
      <c r="AB383" s="33">
        <f>IF(AQ383="1",BH383,0)</f>
        <v>0</v>
      </c>
      <c r="AC383" s="33">
        <f>IF(AQ383="1",BI383,0)</f>
        <v>0</v>
      </c>
      <c r="AD383" s="33">
        <f>IF(AQ383="7",BH383,0)</f>
        <v>0</v>
      </c>
      <c r="AE383" s="33">
        <f>IF(AQ383="7",BI383,0)</f>
        <v>0</v>
      </c>
      <c r="AF383" s="33">
        <f>IF(AQ383="2",BH383,0)</f>
        <v>0</v>
      </c>
      <c r="AG383" s="33">
        <f>IF(AQ383="2",BI383,0)</f>
        <v>0</v>
      </c>
      <c r="AH383" s="33">
        <f>IF(AQ383="0",BJ383,0)</f>
        <v>0</v>
      </c>
      <c r="AI383" s="29"/>
      <c r="AJ383" s="16">
        <f>IF(AN383=0,K383,0)</f>
        <v>0</v>
      </c>
      <c r="AK383" s="16">
        <f>IF(AN383=15,K383,0)</f>
        <v>0</v>
      </c>
      <c r="AL383" s="16">
        <f>IF(AN383=21,K383,0)</f>
        <v>0</v>
      </c>
      <c r="AN383" s="33">
        <v>15</v>
      </c>
      <c r="AO383" s="33">
        <f>H383*0</f>
        <v>0</v>
      </c>
      <c r="AP383" s="33">
        <f>H383*(1-0)</f>
        <v>0</v>
      </c>
      <c r="AQ383" s="28" t="s">
        <v>11</v>
      </c>
      <c r="AV383" s="33">
        <f>AW383+AX383</f>
        <v>0</v>
      </c>
      <c r="AW383" s="33">
        <f>G383*AO383</f>
        <v>0</v>
      </c>
      <c r="AX383" s="33">
        <f>G383*AP383</f>
        <v>0</v>
      </c>
      <c r="AY383" s="34" t="s">
        <v>806</v>
      </c>
      <c r="AZ383" s="34" t="s">
        <v>818</v>
      </c>
      <c r="BA383" s="29" t="s">
        <v>820</v>
      </c>
      <c r="BC383" s="33">
        <f>AW383+AX383</f>
        <v>0</v>
      </c>
      <c r="BD383" s="33">
        <f>H383/(100-BE383)*100</f>
        <v>0</v>
      </c>
      <c r="BE383" s="33">
        <v>0</v>
      </c>
      <c r="BF383" s="33">
        <f>383</f>
        <v>383</v>
      </c>
      <c r="BH383" s="16">
        <f>G383*AO383</f>
        <v>0</v>
      </c>
      <c r="BI383" s="16">
        <f>G383*AP383</f>
        <v>0</v>
      </c>
      <c r="BJ383" s="16">
        <f>G383*H383</f>
        <v>0</v>
      </c>
    </row>
    <row r="384" spans="3:7" ht="10.5" customHeight="1">
      <c r="C384" s="153" t="s">
        <v>663</v>
      </c>
      <c r="D384" s="154"/>
      <c r="E384" s="154"/>
      <c r="G384" s="17">
        <v>0.4424</v>
      </c>
    </row>
    <row r="385" spans="1:62" ht="12.75">
      <c r="A385" s="4" t="s">
        <v>146</v>
      </c>
      <c r="B385" s="4" t="s">
        <v>319</v>
      </c>
      <c r="C385" s="151" t="s">
        <v>664</v>
      </c>
      <c r="D385" s="152"/>
      <c r="E385" s="152"/>
      <c r="F385" s="4" t="s">
        <v>751</v>
      </c>
      <c r="G385" s="16">
        <v>0.345</v>
      </c>
      <c r="H385" s="16">
        <v>0</v>
      </c>
      <c r="I385" s="16">
        <f>G385*AO385</f>
        <v>0</v>
      </c>
      <c r="J385" s="16">
        <f>G385*AP385</f>
        <v>0</v>
      </c>
      <c r="K385" s="16">
        <f>G385*H385</f>
        <v>0</v>
      </c>
      <c r="L385" s="28" t="s">
        <v>775</v>
      </c>
      <c r="Z385" s="33">
        <f>IF(AQ385="5",BJ385,0)</f>
        <v>0</v>
      </c>
      <c r="AB385" s="33">
        <f>IF(AQ385="1",BH385,0)</f>
        <v>0</v>
      </c>
      <c r="AC385" s="33">
        <f>IF(AQ385="1",BI385,0)</f>
        <v>0</v>
      </c>
      <c r="AD385" s="33">
        <f>IF(AQ385="7",BH385,0)</f>
        <v>0</v>
      </c>
      <c r="AE385" s="33">
        <f>IF(AQ385="7",BI385,0)</f>
        <v>0</v>
      </c>
      <c r="AF385" s="33">
        <f>IF(AQ385="2",BH385,0)</f>
        <v>0</v>
      </c>
      <c r="AG385" s="33">
        <f>IF(AQ385="2",BI385,0)</f>
        <v>0</v>
      </c>
      <c r="AH385" s="33">
        <f>IF(AQ385="0",BJ385,0)</f>
        <v>0</v>
      </c>
      <c r="AI385" s="29"/>
      <c r="AJ385" s="16">
        <f>IF(AN385=0,K385,0)</f>
        <v>0</v>
      </c>
      <c r="AK385" s="16">
        <f>IF(AN385=15,K385,0)</f>
        <v>0</v>
      </c>
      <c r="AL385" s="16">
        <f>IF(AN385=21,K385,0)</f>
        <v>0</v>
      </c>
      <c r="AN385" s="33">
        <v>15</v>
      </c>
      <c r="AO385" s="33">
        <f>H385*0</f>
        <v>0</v>
      </c>
      <c r="AP385" s="33">
        <f>H385*(1-0)</f>
        <v>0</v>
      </c>
      <c r="AQ385" s="28" t="s">
        <v>11</v>
      </c>
      <c r="AV385" s="33">
        <f>AW385+AX385</f>
        <v>0</v>
      </c>
      <c r="AW385" s="33">
        <f>G385*AO385</f>
        <v>0</v>
      </c>
      <c r="AX385" s="33">
        <f>G385*AP385</f>
        <v>0</v>
      </c>
      <c r="AY385" s="34" t="s">
        <v>806</v>
      </c>
      <c r="AZ385" s="34" t="s">
        <v>818</v>
      </c>
      <c r="BA385" s="29" t="s">
        <v>820</v>
      </c>
      <c r="BC385" s="33">
        <f>AW385+AX385</f>
        <v>0</v>
      </c>
      <c r="BD385" s="33">
        <f>H385/(100-BE385)*100</f>
        <v>0</v>
      </c>
      <c r="BE385" s="33">
        <v>0</v>
      </c>
      <c r="BF385" s="33">
        <f>385</f>
        <v>385</v>
      </c>
      <c r="BH385" s="16">
        <f>G385*AO385</f>
        <v>0</v>
      </c>
      <c r="BI385" s="16">
        <f>G385*AP385</f>
        <v>0</v>
      </c>
      <c r="BJ385" s="16">
        <f>G385*H385</f>
        <v>0</v>
      </c>
    </row>
    <row r="386" spans="3:7" ht="10.5" customHeight="1">
      <c r="C386" s="153" t="s">
        <v>665</v>
      </c>
      <c r="D386" s="154"/>
      <c r="E386" s="154"/>
      <c r="G386" s="17">
        <v>0.345</v>
      </c>
    </row>
    <row r="387" spans="1:62" ht="12.75">
      <c r="A387" s="4" t="s">
        <v>147</v>
      </c>
      <c r="B387" s="4" t="s">
        <v>320</v>
      </c>
      <c r="C387" s="151" t="s">
        <v>666</v>
      </c>
      <c r="D387" s="152"/>
      <c r="E387" s="152"/>
      <c r="F387" s="4" t="s">
        <v>755</v>
      </c>
      <c r="G387" s="16">
        <v>64.73</v>
      </c>
      <c r="H387" s="16">
        <v>0</v>
      </c>
      <c r="I387" s="16">
        <f>G387*AO387</f>
        <v>0</v>
      </c>
      <c r="J387" s="16">
        <f>G387*AP387</f>
        <v>0</v>
      </c>
      <c r="K387" s="16">
        <f>G387*H387</f>
        <v>0</v>
      </c>
      <c r="L387" s="28" t="s">
        <v>775</v>
      </c>
      <c r="Z387" s="33">
        <f>IF(AQ387="5",BJ387,0)</f>
        <v>0</v>
      </c>
      <c r="AB387" s="33">
        <f>IF(AQ387="1",BH387,0)</f>
        <v>0</v>
      </c>
      <c r="AC387" s="33">
        <f>IF(AQ387="1",BI387,0)</f>
        <v>0</v>
      </c>
      <c r="AD387" s="33">
        <f>IF(AQ387="7",BH387,0)</f>
        <v>0</v>
      </c>
      <c r="AE387" s="33">
        <f>IF(AQ387="7",BI387,0)</f>
        <v>0</v>
      </c>
      <c r="AF387" s="33">
        <f>IF(AQ387="2",BH387,0)</f>
        <v>0</v>
      </c>
      <c r="AG387" s="33">
        <f>IF(AQ387="2",BI387,0)</f>
        <v>0</v>
      </c>
      <c r="AH387" s="33">
        <f>IF(AQ387="0",BJ387,0)</f>
        <v>0</v>
      </c>
      <c r="AI387" s="29"/>
      <c r="AJ387" s="16">
        <f>IF(AN387=0,K387,0)</f>
        <v>0</v>
      </c>
      <c r="AK387" s="16">
        <f>IF(AN387=15,K387,0)</f>
        <v>0</v>
      </c>
      <c r="AL387" s="16">
        <f>IF(AN387=21,K387,0)</f>
        <v>0</v>
      </c>
      <c r="AN387" s="33">
        <v>15</v>
      </c>
      <c r="AO387" s="33">
        <f>H387*0</f>
        <v>0</v>
      </c>
      <c r="AP387" s="33">
        <f>H387*(1-0)</f>
        <v>0</v>
      </c>
      <c r="AQ387" s="28" t="s">
        <v>7</v>
      </c>
      <c r="AV387" s="33">
        <f>AW387+AX387</f>
        <v>0</v>
      </c>
      <c r="AW387" s="33">
        <f>G387*AO387</f>
        <v>0</v>
      </c>
      <c r="AX387" s="33">
        <f>G387*AP387</f>
        <v>0</v>
      </c>
      <c r="AY387" s="34" t="s">
        <v>806</v>
      </c>
      <c r="AZ387" s="34" t="s">
        <v>818</v>
      </c>
      <c r="BA387" s="29" t="s">
        <v>820</v>
      </c>
      <c r="BC387" s="33">
        <f>AW387+AX387</f>
        <v>0</v>
      </c>
      <c r="BD387" s="33">
        <f>H387/(100-BE387)*100</f>
        <v>0</v>
      </c>
      <c r="BE387" s="33">
        <v>0</v>
      </c>
      <c r="BF387" s="33">
        <f>387</f>
        <v>387</v>
      </c>
      <c r="BH387" s="16">
        <f>G387*AO387</f>
        <v>0</v>
      </c>
      <c r="BI387" s="16">
        <f>G387*AP387</f>
        <v>0</v>
      </c>
      <c r="BJ387" s="16">
        <f>G387*H387</f>
        <v>0</v>
      </c>
    </row>
    <row r="388" spans="3:7" ht="10.5" customHeight="1">
      <c r="C388" s="153" t="s">
        <v>667</v>
      </c>
      <c r="D388" s="154"/>
      <c r="E388" s="154"/>
      <c r="G388" s="17">
        <v>64.73</v>
      </c>
    </row>
    <row r="389" spans="1:47" ht="12.75">
      <c r="A389" s="5"/>
      <c r="B389" s="13" t="s">
        <v>321</v>
      </c>
      <c r="C389" s="157" t="s">
        <v>668</v>
      </c>
      <c r="D389" s="158"/>
      <c r="E389" s="158"/>
      <c r="F389" s="5" t="s">
        <v>6</v>
      </c>
      <c r="G389" s="5" t="s">
        <v>6</v>
      </c>
      <c r="H389" s="5" t="s">
        <v>6</v>
      </c>
      <c r="I389" s="36">
        <f>SUM(I390:I390)</f>
        <v>0</v>
      </c>
      <c r="J389" s="36">
        <f>SUM(J390:J390)</f>
        <v>0</v>
      </c>
      <c r="K389" s="36">
        <f>SUM(K390:K390)</f>
        <v>0</v>
      </c>
      <c r="L389" s="29"/>
      <c r="AI389" s="29"/>
      <c r="AS389" s="36">
        <f>SUM(AJ390:AJ390)</f>
        <v>0</v>
      </c>
      <c r="AT389" s="36">
        <f>SUM(AK390:AK390)</f>
        <v>0</v>
      </c>
      <c r="AU389" s="36">
        <f>SUM(AL390:AL390)</f>
        <v>0</v>
      </c>
    </row>
    <row r="390" spans="1:62" ht="12.75">
      <c r="A390" s="4" t="s">
        <v>148</v>
      </c>
      <c r="B390" s="4" t="s">
        <v>322</v>
      </c>
      <c r="C390" s="151" t="s">
        <v>669</v>
      </c>
      <c r="D390" s="152"/>
      <c r="E390" s="152"/>
      <c r="F390" s="4" t="s">
        <v>751</v>
      </c>
      <c r="G390" s="16">
        <v>12.223</v>
      </c>
      <c r="H390" s="16">
        <v>0</v>
      </c>
      <c r="I390" s="16">
        <f>G390*AO390</f>
        <v>0</v>
      </c>
      <c r="J390" s="16">
        <f>G390*AP390</f>
        <v>0</v>
      </c>
      <c r="K390" s="16">
        <f>G390*H390</f>
        <v>0</v>
      </c>
      <c r="L390" s="28" t="s">
        <v>775</v>
      </c>
      <c r="Z390" s="33">
        <f>IF(AQ390="5",BJ390,0)</f>
        <v>0</v>
      </c>
      <c r="AB390" s="33">
        <f>IF(AQ390="1",BH390,0)</f>
        <v>0</v>
      </c>
      <c r="AC390" s="33">
        <f>IF(AQ390="1",BI390,0)</f>
        <v>0</v>
      </c>
      <c r="AD390" s="33">
        <f>IF(AQ390="7",BH390,0)</f>
        <v>0</v>
      </c>
      <c r="AE390" s="33">
        <f>IF(AQ390="7",BI390,0)</f>
        <v>0</v>
      </c>
      <c r="AF390" s="33">
        <f>IF(AQ390="2",BH390,0)</f>
        <v>0</v>
      </c>
      <c r="AG390" s="33">
        <f>IF(AQ390="2",BI390,0)</f>
        <v>0</v>
      </c>
      <c r="AH390" s="33">
        <f>IF(AQ390="0",BJ390,0)</f>
        <v>0</v>
      </c>
      <c r="AI390" s="29"/>
      <c r="AJ390" s="16">
        <f>IF(AN390=0,K390,0)</f>
        <v>0</v>
      </c>
      <c r="AK390" s="16">
        <f>IF(AN390=15,K390,0)</f>
        <v>0</v>
      </c>
      <c r="AL390" s="16">
        <f>IF(AN390=21,K390,0)</f>
        <v>0</v>
      </c>
      <c r="AN390" s="33">
        <v>15</v>
      </c>
      <c r="AO390" s="33">
        <f>H390*0</f>
        <v>0</v>
      </c>
      <c r="AP390" s="33">
        <f>H390*(1-0)</f>
        <v>0</v>
      </c>
      <c r="AQ390" s="28" t="s">
        <v>11</v>
      </c>
      <c r="AV390" s="33">
        <f>AW390+AX390</f>
        <v>0</v>
      </c>
      <c r="AW390" s="33">
        <f>G390*AO390</f>
        <v>0</v>
      </c>
      <c r="AX390" s="33">
        <f>G390*AP390</f>
        <v>0</v>
      </c>
      <c r="AY390" s="34" t="s">
        <v>807</v>
      </c>
      <c r="AZ390" s="34" t="s">
        <v>818</v>
      </c>
      <c r="BA390" s="29" t="s">
        <v>820</v>
      </c>
      <c r="BC390" s="33">
        <f>AW390+AX390</f>
        <v>0</v>
      </c>
      <c r="BD390" s="33">
        <f>H390/(100-BE390)*100</f>
        <v>0</v>
      </c>
      <c r="BE390" s="33">
        <v>0</v>
      </c>
      <c r="BF390" s="33">
        <f>390</f>
        <v>390</v>
      </c>
      <c r="BH390" s="16">
        <f>G390*AO390</f>
        <v>0</v>
      </c>
      <c r="BI390" s="16">
        <f>G390*AP390</f>
        <v>0</v>
      </c>
      <c r="BJ390" s="16">
        <f>G390*H390</f>
        <v>0</v>
      </c>
    </row>
    <row r="391" spans="3:7" ht="10.5" customHeight="1">
      <c r="C391" s="153" t="s">
        <v>670</v>
      </c>
      <c r="D391" s="154"/>
      <c r="E391" s="154"/>
      <c r="G391" s="17">
        <v>11.237</v>
      </c>
    </row>
    <row r="392" spans="3:7" ht="10.5" customHeight="1">
      <c r="C392" s="153" t="s">
        <v>671</v>
      </c>
      <c r="D392" s="154"/>
      <c r="E392" s="154"/>
      <c r="G392" s="17">
        <v>0.367</v>
      </c>
    </row>
    <row r="393" spans="3:7" ht="10.5" customHeight="1">
      <c r="C393" s="153" t="s">
        <v>672</v>
      </c>
      <c r="D393" s="154"/>
      <c r="E393" s="154"/>
      <c r="G393" s="17">
        <v>0.619</v>
      </c>
    </row>
    <row r="394" spans="1:47" ht="12.75">
      <c r="A394" s="5"/>
      <c r="B394" s="13" t="s">
        <v>323</v>
      </c>
      <c r="C394" s="157" t="s">
        <v>673</v>
      </c>
      <c r="D394" s="158"/>
      <c r="E394" s="158"/>
      <c r="F394" s="5" t="s">
        <v>6</v>
      </c>
      <c r="G394" s="5" t="s">
        <v>6</v>
      </c>
      <c r="H394" s="5" t="s">
        <v>6</v>
      </c>
      <c r="I394" s="36">
        <f>SUM(I395:I403)</f>
        <v>0</v>
      </c>
      <c r="J394" s="36">
        <f>SUM(J395:J403)</f>
        <v>0</v>
      </c>
      <c r="K394" s="36">
        <f>SUM(K395:K403)</f>
        <v>0</v>
      </c>
      <c r="L394" s="29"/>
      <c r="AI394" s="29"/>
      <c r="AS394" s="36">
        <f>SUM(AJ395:AJ403)</f>
        <v>0</v>
      </c>
      <c r="AT394" s="36">
        <f>SUM(AK395:AK403)</f>
        <v>0</v>
      </c>
      <c r="AU394" s="36">
        <f>SUM(AL395:AL403)</f>
        <v>0</v>
      </c>
    </row>
    <row r="395" spans="1:62" ht="12.75">
      <c r="A395" s="4" t="s">
        <v>149</v>
      </c>
      <c r="B395" s="4" t="s">
        <v>324</v>
      </c>
      <c r="C395" s="151" t="s">
        <v>674</v>
      </c>
      <c r="D395" s="152"/>
      <c r="E395" s="152"/>
      <c r="F395" s="4" t="s">
        <v>748</v>
      </c>
      <c r="G395" s="16">
        <v>1</v>
      </c>
      <c r="H395" s="16">
        <v>0</v>
      </c>
      <c r="I395" s="16">
        <f>G395*AO395</f>
        <v>0</v>
      </c>
      <c r="J395" s="16">
        <f>G395*AP395</f>
        <v>0</v>
      </c>
      <c r="K395" s="16">
        <f>G395*H395</f>
        <v>0</v>
      </c>
      <c r="L395" s="28" t="s">
        <v>775</v>
      </c>
      <c r="Z395" s="33">
        <f>IF(AQ395="5",BJ395,0)</f>
        <v>0</v>
      </c>
      <c r="AB395" s="33">
        <f>IF(AQ395="1",BH395,0)</f>
        <v>0</v>
      </c>
      <c r="AC395" s="33">
        <f>IF(AQ395="1",BI395,0)</f>
        <v>0</v>
      </c>
      <c r="AD395" s="33">
        <f>IF(AQ395="7",BH395,0)</f>
        <v>0</v>
      </c>
      <c r="AE395" s="33">
        <f>IF(AQ395="7",BI395,0)</f>
        <v>0</v>
      </c>
      <c r="AF395" s="33">
        <f>IF(AQ395="2",BH395,0)</f>
        <v>0</v>
      </c>
      <c r="AG395" s="33">
        <f>IF(AQ395="2",BI395,0)</f>
        <v>0</v>
      </c>
      <c r="AH395" s="33">
        <f>IF(AQ395="0",BJ395,0)</f>
        <v>0</v>
      </c>
      <c r="AI395" s="29"/>
      <c r="AJ395" s="16">
        <f>IF(AN395=0,K395,0)</f>
        <v>0</v>
      </c>
      <c r="AK395" s="16">
        <f>IF(AN395=15,K395,0)</f>
        <v>0</v>
      </c>
      <c r="AL395" s="16">
        <f>IF(AN395=21,K395,0)</f>
        <v>0</v>
      </c>
      <c r="AN395" s="33">
        <v>15</v>
      </c>
      <c r="AO395" s="33">
        <f>H395*0</f>
        <v>0</v>
      </c>
      <c r="AP395" s="33">
        <f>H395*(1-0)</f>
        <v>0</v>
      </c>
      <c r="AQ395" s="28" t="s">
        <v>8</v>
      </c>
      <c r="AV395" s="33">
        <f>AW395+AX395</f>
        <v>0</v>
      </c>
      <c r="AW395" s="33">
        <f>G395*AO395</f>
        <v>0</v>
      </c>
      <c r="AX395" s="33">
        <f>G395*AP395</f>
        <v>0</v>
      </c>
      <c r="AY395" s="34" t="s">
        <v>808</v>
      </c>
      <c r="AZ395" s="34" t="s">
        <v>818</v>
      </c>
      <c r="BA395" s="29" t="s">
        <v>820</v>
      </c>
      <c r="BC395" s="33">
        <f>AW395+AX395</f>
        <v>0</v>
      </c>
      <c r="BD395" s="33">
        <f>H395/(100-BE395)*100</f>
        <v>0</v>
      </c>
      <c r="BE395" s="33">
        <v>0</v>
      </c>
      <c r="BF395" s="33">
        <f>395</f>
        <v>395</v>
      </c>
      <c r="BH395" s="16">
        <f>G395*AO395</f>
        <v>0</v>
      </c>
      <c r="BI395" s="16">
        <f>G395*AP395</f>
        <v>0</v>
      </c>
      <c r="BJ395" s="16">
        <f>G395*H395</f>
        <v>0</v>
      </c>
    </row>
    <row r="396" spans="3:7" ht="10.5" customHeight="1">
      <c r="C396" s="153" t="s">
        <v>429</v>
      </c>
      <c r="D396" s="154"/>
      <c r="E396" s="154"/>
      <c r="G396" s="17">
        <v>1</v>
      </c>
    </row>
    <row r="397" spans="1:62" ht="12.75">
      <c r="A397" s="4" t="s">
        <v>150</v>
      </c>
      <c r="B397" s="4" t="s">
        <v>325</v>
      </c>
      <c r="C397" s="151" t="s">
        <v>675</v>
      </c>
      <c r="D397" s="152"/>
      <c r="E397" s="152"/>
      <c r="F397" s="4" t="s">
        <v>748</v>
      </c>
      <c r="G397" s="16">
        <v>1</v>
      </c>
      <c r="H397" s="16">
        <v>0</v>
      </c>
      <c r="I397" s="16">
        <f>G397*AO397</f>
        <v>0</v>
      </c>
      <c r="J397" s="16">
        <f>G397*AP397</f>
        <v>0</v>
      </c>
      <c r="K397" s="16">
        <f>G397*H397</f>
        <v>0</v>
      </c>
      <c r="L397" s="28" t="s">
        <v>775</v>
      </c>
      <c r="Z397" s="33">
        <f>IF(AQ397="5",BJ397,0)</f>
        <v>0</v>
      </c>
      <c r="AB397" s="33">
        <f>IF(AQ397="1",BH397,0)</f>
        <v>0</v>
      </c>
      <c r="AC397" s="33">
        <f>IF(AQ397="1",BI397,0)</f>
        <v>0</v>
      </c>
      <c r="AD397" s="33">
        <f>IF(AQ397="7",BH397,0)</f>
        <v>0</v>
      </c>
      <c r="AE397" s="33">
        <f>IF(AQ397="7",BI397,0)</f>
        <v>0</v>
      </c>
      <c r="AF397" s="33">
        <f>IF(AQ397="2",BH397,0)</f>
        <v>0</v>
      </c>
      <c r="AG397" s="33">
        <f>IF(AQ397="2",BI397,0)</f>
        <v>0</v>
      </c>
      <c r="AH397" s="33">
        <f>IF(AQ397="0",BJ397,0)</f>
        <v>0</v>
      </c>
      <c r="AI397" s="29"/>
      <c r="AJ397" s="16">
        <f>IF(AN397=0,K397,0)</f>
        <v>0</v>
      </c>
      <c r="AK397" s="16">
        <f>IF(AN397=15,K397,0)</f>
        <v>0</v>
      </c>
      <c r="AL397" s="16">
        <f>IF(AN397=21,K397,0)</f>
        <v>0</v>
      </c>
      <c r="AN397" s="33">
        <v>15</v>
      </c>
      <c r="AO397" s="33">
        <f>H397*0</f>
        <v>0</v>
      </c>
      <c r="AP397" s="33">
        <f>H397*(1-0)</f>
        <v>0</v>
      </c>
      <c r="AQ397" s="28" t="s">
        <v>8</v>
      </c>
      <c r="AV397" s="33">
        <f>AW397+AX397</f>
        <v>0</v>
      </c>
      <c r="AW397" s="33">
        <f>G397*AO397</f>
        <v>0</v>
      </c>
      <c r="AX397" s="33">
        <f>G397*AP397</f>
        <v>0</v>
      </c>
      <c r="AY397" s="34" t="s">
        <v>808</v>
      </c>
      <c r="AZ397" s="34" t="s">
        <v>818</v>
      </c>
      <c r="BA397" s="29" t="s">
        <v>820</v>
      </c>
      <c r="BC397" s="33">
        <f>AW397+AX397</f>
        <v>0</v>
      </c>
      <c r="BD397" s="33">
        <f>H397/(100-BE397)*100</f>
        <v>0</v>
      </c>
      <c r="BE397" s="33">
        <v>0</v>
      </c>
      <c r="BF397" s="33">
        <f>397</f>
        <v>397</v>
      </c>
      <c r="BH397" s="16">
        <f>G397*AO397</f>
        <v>0</v>
      </c>
      <c r="BI397" s="16">
        <f>G397*AP397</f>
        <v>0</v>
      </c>
      <c r="BJ397" s="16">
        <f>G397*H397</f>
        <v>0</v>
      </c>
    </row>
    <row r="398" spans="3:5" ht="12.75">
      <c r="C398" s="155" t="s">
        <v>676</v>
      </c>
      <c r="D398" s="156"/>
      <c r="E398" s="156"/>
    </row>
    <row r="399" spans="3:7" ht="10.5" customHeight="1">
      <c r="C399" s="153" t="s">
        <v>429</v>
      </c>
      <c r="D399" s="154"/>
      <c r="E399" s="154"/>
      <c r="G399" s="17">
        <v>1</v>
      </c>
    </row>
    <row r="400" spans="1:62" ht="12.75">
      <c r="A400" s="4" t="s">
        <v>151</v>
      </c>
      <c r="B400" s="4" t="s">
        <v>326</v>
      </c>
      <c r="C400" s="151" t="s">
        <v>677</v>
      </c>
      <c r="D400" s="152"/>
      <c r="E400" s="152"/>
      <c r="F400" s="4" t="s">
        <v>748</v>
      </c>
      <c r="G400" s="16">
        <v>1</v>
      </c>
      <c r="H400" s="16">
        <v>0</v>
      </c>
      <c r="I400" s="16">
        <f>G400*AO400</f>
        <v>0</v>
      </c>
      <c r="J400" s="16">
        <f>G400*AP400</f>
        <v>0</v>
      </c>
      <c r="K400" s="16">
        <f>G400*H400</f>
        <v>0</v>
      </c>
      <c r="L400" s="28" t="s">
        <v>775</v>
      </c>
      <c r="Z400" s="33">
        <f>IF(AQ400="5",BJ400,0)</f>
        <v>0</v>
      </c>
      <c r="AB400" s="33">
        <f>IF(AQ400="1",BH400,0)</f>
        <v>0</v>
      </c>
      <c r="AC400" s="33">
        <f>IF(AQ400="1",BI400,0)</f>
        <v>0</v>
      </c>
      <c r="AD400" s="33">
        <f>IF(AQ400="7",BH400,0)</f>
        <v>0</v>
      </c>
      <c r="AE400" s="33">
        <f>IF(AQ400="7",BI400,0)</f>
        <v>0</v>
      </c>
      <c r="AF400" s="33">
        <f>IF(AQ400="2",BH400,0)</f>
        <v>0</v>
      </c>
      <c r="AG400" s="33">
        <f>IF(AQ400="2",BI400,0)</f>
        <v>0</v>
      </c>
      <c r="AH400" s="33">
        <f>IF(AQ400="0",BJ400,0)</f>
        <v>0</v>
      </c>
      <c r="AI400" s="29"/>
      <c r="AJ400" s="16">
        <f>IF(AN400=0,K400,0)</f>
        <v>0</v>
      </c>
      <c r="AK400" s="16">
        <f>IF(AN400=15,K400,0)</f>
        <v>0</v>
      </c>
      <c r="AL400" s="16">
        <f>IF(AN400=21,K400,0)</f>
        <v>0</v>
      </c>
      <c r="AN400" s="33">
        <v>15</v>
      </c>
      <c r="AO400" s="33">
        <f>H400*0</f>
        <v>0</v>
      </c>
      <c r="AP400" s="33">
        <f>H400*(1-0)</f>
        <v>0</v>
      </c>
      <c r="AQ400" s="28" t="s">
        <v>8</v>
      </c>
      <c r="AV400" s="33">
        <f>AW400+AX400</f>
        <v>0</v>
      </c>
      <c r="AW400" s="33">
        <f>G400*AO400</f>
        <v>0</v>
      </c>
      <c r="AX400" s="33">
        <f>G400*AP400</f>
        <v>0</v>
      </c>
      <c r="AY400" s="34" t="s">
        <v>808</v>
      </c>
      <c r="AZ400" s="34" t="s">
        <v>818</v>
      </c>
      <c r="BA400" s="29" t="s">
        <v>820</v>
      </c>
      <c r="BC400" s="33">
        <f>AW400+AX400</f>
        <v>0</v>
      </c>
      <c r="BD400" s="33">
        <f>H400/(100-BE400)*100</f>
        <v>0</v>
      </c>
      <c r="BE400" s="33">
        <v>0</v>
      </c>
      <c r="BF400" s="33">
        <f>400</f>
        <v>400</v>
      </c>
      <c r="BH400" s="16">
        <f>G400*AO400</f>
        <v>0</v>
      </c>
      <c r="BI400" s="16">
        <f>G400*AP400</f>
        <v>0</v>
      </c>
      <c r="BJ400" s="16">
        <f>G400*H400</f>
        <v>0</v>
      </c>
    </row>
    <row r="401" spans="3:5" ht="12.75">
      <c r="C401" s="155" t="s">
        <v>676</v>
      </c>
      <c r="D401" s="156"/>
      <c r="E401" s="156"/>
    </row>
    <row r="402" spans="3:7" ht="10.5" customHeight="1">
      <c r="C402" s="153" t="s">
        <v>429</v>
      </c>
      <c r="D402" s="154"/>
      <c r="E402" s="154"/>
      <c r="G402" s="17">
        <v>1</v>
      </c>
    </row>
    <row r="403" spans="1:62" ht="12.75">
      <c r="A403" s="4" t="s">
        <v>152</v>
      </c>
      <c r="B403" s="4" t="s">
        <v>327</v>
      </c>
      <c r="C403" s="151" t="s">
        <v>678</v>
      </c>
      <c r="D403" s="152"/>
      <c r="E403" s="152"/>
      <c r="F403" s="4" t="s">
        <v>748</v>
      </c>
      <c r="G403" s="16">
        <v>1</v>
      </c>
      <c r="H403" s="16">
        <v>0</v>
      </c>
      <c r="I403" s="16">
        <f>G403*AO403</f>
        <v>0</v>
      </c>
      <c r="J403" s="16">
        <f>G403*AP403</f>
        <v>0</v>
      </c>
      <c r="K403" s="16">
        <f>G403*H403</f>
        <v>0</v>
      </c>
      <c r="L403" s="28" t="s">
        <v>775</v>
      </c>
      <c r="Z403" s="33">
        <f>IF(AQ403="5",BJ403,0)</f>
        <v>0</v>
      </c>
      <c r="AB403" s="33">
        <f>IF(AQ403="1",BH403,0)</f>
        <v>0</v>
      </c>
      <c r="AC403" s="33">
        <f>IF(AQ403="1",BI403,0)</f>
        <v>0</v>
      </c>
      <c r="AD403" s="33">
        <f>IF(AQ403="7",BH403,0)</f>
        <v>0</v>
      </c>
      <c r="AE403" s="33">
        <f>IF(AQ403="7",BI403,0)</f>
        <v>0</v>
      </c>
      <c r="AF403" s="33">
        <f>IF(AQ403="2",BH403,0)</f>
        <v>0</v>
      </c>
      <c r="AG403" s="33">
        <f>IF(AQ403="2",BI403,0)</f>
        <v>0</v>
      </c>
      <c r="AH403" s="33">
        <f>IF(AQ403="0",BJ403,0)</f>
        <v>0</v>
      </c>
      <c r="AI403" s="29"/>
      <c r="AJ403" s="16">
        <f>IF(AN403=0,K403,0)</f>
        <v>0</v>
      </c>
      <c r="AK403" s="16">
        <f>IF(AN403=15,K403,0)</f>
        <v>0</v>
      </c>
      <c r="AL403" s="16">
        <f>IF(AN403=21,K403,0)</f>
        <v>0</v>
      </c>
      <c r="AN403" s="33">
        <v>15</v>
      </c>
      <c r="AO403" s="33">
        <f>H403*0</f>
        <v>0</v>
      </c>
      <c r="AP403" s="33">
        <f>H403*(1-0)</f>
        <v>0</v>
      </c>
      <c r="AQ403" s="28" t="s">
        <v>8</v>
      </c>
      <c r="AV403" s="33">
        <f>AW403+AX403</f>
        <v>0</v>
      </c>
      <c r="AW403" s="33">
        <f>G403*AO403</f>
        <v>0</v>
      </c>
      <c r="AX403" s="33">
        <f>G403*AP403</f>
        <v>0</v>
      </c>
      <c r="AY403" s="34" t="s">
        <v>808</v>
      </c>
      <c r="AZ403" s="34" t="s">
        <v>818</v>
      </c>
      <c r="BA403" s="29" t="s">
        <v>820</v>
      </c>
      <c r="BC403" s="33">
        <f>AW403+AX403</f>
        <v>0</v>
      </c>
      <c r="BD403" s="33">
        <f>H403/(100-BE403)*100</f>
        <v>0</v>
      </c>
      <c r="BE403" s="33">
        <v>0</v>
      </c>
      <c r="BF403" s="33">
        <f>403</f>
        <v>403</v>
      </c>
      <c r="BH403" s="16">
        <f>G403*AO403</f>
        <v>0</v>
      </c>
      <c r="BI403" s="16">
        <f>G403*AP403</f>
        <v>0</v>
      </c>
      <c r="BJ403" s="16">
        <f>G403*H403</f>
        <v>0</v>
      </c>
    </row>
    <row r="404" spans="3:5" ht="12.75">
      <c r="C404" s="155" t="s">
        <v>676</v>
      </c>
      <c r="D404" s="156"/>
      <c r="E404" s="156"/>
    </row>
    <row r="405" spans="3:7" ht="10.5" customHeight="1">
      <c r="C405" s="153" t="s">
        <v>429</v>
      </c>
      <c r="D405" s="154"/>
      <c r="E405" s="154"/>
      <c r="G405" s="17">
        <v>1</v>
      </c>
    </row>
    <row r="406" spans="1:47" ht="12.75">
      <c r="A406" s="5"/>
      <c r="B406" s="13" t="s">
        <v>328</v>
      </c>
      <c r="C406" s="157" t="s">
        <v>679</v>
      </c>
      <c r="D406" s="158"/>
      <c r="E406" s="158"/>
      <c r="F406" s="5" t="s">
        <v>6</v>
      </c>
      <c r="G406" s="5" t="s">
        <v>6</v>
      </c>
      <c r="H406" s="5" t="s">
        <v>6</v>
      </c>
      <c r="I406" s="36">
        <f>SUM(I407:I486)</f>
        <v>0</v>
      </c>
      <c r="J406" s="36">
        <f>SUM(J407:J486)</f>
        <v>0</v>
      </c>
      <c r="K406" s="36">
        <f>SUM(K407:K486)</f>
        <v>0</v>
      </c>
      <c r="L406" s="29"/>
      <c r="AI406" s="29"/>
      <c r="AS406" s="36">
        <f>SUM(AJ407:AJ486)</f>
        <v>0</v>
      </c>
      <c r="AT406" s="36">
        <f>SUM(AK407:AK486)</f>
        <v>0</v>
      </c>
      <c r="AU406" s="36">
        <f>SUM(AL407:AL486)</f>
        <v>0</v>
      </c>
    </row>
    <row r="407" spans="1:62" ht="12.75">
      <c r="A407" s="4" t="s">
        <v>153</v>
      </c>
      <c r="B407" s="4" t="s">
        <v>329</v>
      </c>
      <c r="C407" s="151" t="s">
        <v>680</v>
      </c>
      <c r="D407" s="152"/>
      <c r="E407" s="152"/>
      <c r="F407" s="4" t="s">
        <v>749</v>
      </c>
      <c r="G407" s="16">
        <v>6</v>
      </c>
      <c r="H407" s="16">
        <v>0</v>
      </c>
      <c r="I407" s="16">
        <f>G407*AO407</f>
        <v>0</v>
      </c>
      <c r="J407" s="16">
        <f>G407*AP407</f>
        <v>0</v>
      </c>
      <c r="K407" s="16">
        <f>G407*H407</f>
        <v>0</v>
      </c>
      <c r="L407" s="28" t="s">
        <v>775</v>
      </c>
      <c r="Z407" s="33">
        <f>IF(AQ407="5",BJ407,0)</f>
        <v>0</v>
      </c>
      <c r="AB407" s="33">
        <f>IF(AQ407="1",BH407,0)</f>
        <v>0</v>
      </c>
      <c r="AC407" s="33">
        <f>IF(AQ407="1",BI407,0)</f>
        <v>0</v>
      </c>
      <c r="AD407" s="33">
        <f>IF(AQ407="7",BH407,0)</f>
        <v>0</v>
      </c>
      <c r="AE407" s="33">
        <f>IF(AQ407="7",BI407,0)</f>
        <v>0</v>
      </c>
      <c r="AF407" s="33">
        <f>IF(AQ407="2",BH407,0)</f>
        <v>0</v>
      </c>
      <c r="AG407" s="33">
        <f>IF(AQ407="2",BI407,0)</f>
        <v>0</v>
      </c>
      <c r="AH407" s="33">
        <f>IF(AQ407="0",BJ407,0)</f>
        <v>0</v>
      </c>
      <c r="AI407" s="29"/>
      <c r="AJ407" s="16">
        <f>IF(AN407=0,K407,0)</f>
        <v>0</v>
      </c>
      <c r="AK407" s="16">
        <f>IF(AN407=15,K407,0)</f>
        <v>0</v>
      </c>
      <c r="AL407" s="16">
        <f>IF(AN407=21,K407,0)</f>
        <v>0</v>
      </c>
      <c r="AN407" s="33">
        <v>15</v>
      </c>
      <c r="AO407" s="33">
        <f>H407*0</f>
        <v>0</v>
      </c>
      <c r="AP407" s="33">
        <f>H407*(1-0)</f>
        <v>0</v>
      </c>
      <c r="AQ407" s="28" t="s">
        <v>8</v>
      </c>
      <c r="AV407" s="33">
        <f>AW407+AX407</f>
        <v>0</v>
      </c>
      <c r="AW407" s="33">
        <f>G407*AO407</f>
        <v>0</v>
      </c>
      <c r="AX407" s="33">
        <f>G407*AP407</f>
        <v>0</v>
      </c>
      <c r="AY407" s="34" t="s">
        <v>809</v>
      </c>
      <c r="AZ407" s="34" t="s">
        <v>818</v>
      </c>
      <c r="BA407" s="29" t="s">
        <v>820</v>
      </c>
      <c r="BC407" s="33">
        <f>AW407+AX407</f>
        <v>0</v>
      </c>
      <c r="BD407" s="33">
        <f>H407/(100-BE407)*100</f>
        <v>0</v>
      </c>
      <c r="BE407" s="33">
        <v>0</v>
      </c>
      <c r="BF407" s="33">
        <f>407</f>
        <v>407</v>
      </c>
      <c r="BH407" s="16">
        <f>G407*AO407</f>
        <v>0</v>
      </c>
      <c r="BI407" s="16">
        <f>G407*AP407</f>
        <v>0</v>
      </c>
      <c r="BJ407" s="16">
        <f>G407*H407</f>
        <v>0</v>
      </c>
    </row>
    <row r="408" spans="3:7" ht="10.5" customHeight="1">
      <c r="C408" s="153" t="s">
        <v>633</v>
      </c>
      <c r="D408" s="154"/>
      <c r="E408" s="154"/>
      <c r="G408" s="17">
        <v>6</v>
      </c>
    </row>
    <row r="409" spans="1:62" ht="12.75">
      <c r="A409" s="4" t="s">
        <v>154</v>
      </c>
      <c r="B409" s="4" t="s">
        <v>330</v>
      </c>
      <c r="C409" s="151" t="s">
        <v>681</v>
      </c>
      <c r="D409" s="152"/>
      <c r="E409" s="152"/>
      <c r="F409" s="4" t="s">
        <v>749</v>
      </c>
      <c r="G409" s="16">
        <v>3</v>
      </c>
      <c r="H409" s="16">
        <v>0</v>
      </c>
      <c r="I409" s="16">
        <f>G409*AO409</f>
        <v>0</v>
      </c>
      <c r="J409" s="16">
        <f>G409*AP409</f>
        <v>0</v>
      </c>
      <c r="K409" s="16">
        <f>G409*H409</f>
        <v>0</v>
      </c>
      <c r="L409" s="28" t="s">
        <v>775</v>
      </c>
      <c r="Z409" s="33">
        <f>IF(AQ409="5",BJ409,0)</f>
        <v>0</v>
      </c>
      <c r="AB409" s="33">
        <f>IF(AQ409="1",BH409,0)</f>
        <v>0</v>
      </c>
      <c r="AC409" s="33">
        <f>IF(AQ409="1",BI409,0)</f>
        <v>0</v>
      </c>
      <c r="AD409" s="33">
        <f>IF(AQ409="7",BH409,0)</f>
        <v>0</v>
      </c>
      <c r="AE409" s="33">
        <f>IF(AQ409="7",BI409,0)</f>
        <v>0</v>
      </c>
      <c r="AF409" s="33">
        <f>IF(AQ409="2",BH409,0)</f>
        <v>0</v>
      </c>
      <c r="AG409" s="33">
        <f>IF(AQ409="2",BI409,0)</f>
        <v>0</v>
      </c>
      <c r="AH409" s="33">
        <f>IF(AQ409="0",BJ409,0)</f>
        <v>0</v>
      </c>
      <c r="AI409" s="29"/>
      <c r="AJ409" s="16">
        <f>IF(AN409=0,K409,0)</f>
        <v>0</v>
      </c>
      <c r="AK409" s="16">
        <f>IF(AN409=15,K409,0)</f>
        <v>0</v>
      </c>
      <c r="AL409" s="16">
        <f>IF(AN409=21,K409,0)</f>
        <v>0</v>
      </c>
      <c r="AN409" s="33">
        <v>15</v>
      </c>
      <c r="AO409" s="33">
        <f>H409*0</f>
        <v>0</v>
      </c>
      <c r="AP409" s="33">
        <f>H409*(1-0)</f>
        <v>0</v>
      </c>
      <c r="AQ409" s="28" t="s">
        <v>8</v>
      </c>
      <c r="AV409" s="33">
        <f>AW409+AX409</f>
        <v>0</v>
      </c>
      <c r="AW409" s="33">
        <f>G409*AO409</f>
        <v>0</v>
      </c>
      <c r="AX409" s="33">
        <f>G409*AP409</f>
        <v>0</v>
      </c>
      <c r="AY409" s="34" t="s">
        <v>809</v>
      </c>
      <c r="AZ409" s="34" t="s">
        <v>818</v>
      </c>
      <c r="BA409" s="29" t="s">
        <v>820</v>
      </c>
      <c r="BC409" s="33">
        <f>AW409+AX409</f>
        <v>0</v>
      </c>
      <c r="BD409" s="33">
        <f>H409/(100-BE409)*100</f>
        <v>0</v>
      </c>
      <c r="BE409" s="33">
        <v>0</v>
      </c>
      <c r="BF409" s="33">
        <f>409</f>
        <v>409</v>
      </c>
      <c r="BH409" s="16">
        <f>G409*AO409</f>
        <v>0</v>
      </c>
      <c r="BI409" s="16">
        <f>G409*AP409</f>
        <v>0</v>
      </c>
      <c r="BJ409" s="16">
        <f>G409*H409</f>
        <v>0</v>
      </c>
    </row>
    <row r="410" spans="3:7" ht="10.5" customHeight="1">
      <c r="C410" s="153" t="s">
        <v>469</v>
      </c>
      <c r="D410" s="154"/>
      <c r="E410" s="154"/>
      <c r="G410" s="17">
        <v>3</v>
      </c>
    </row>
    <row r="411" spans="1:62" ht="12.75">
      <c r="A411" s="4" t="s">
        <v>155</v>
      </c>
      <c r="B411" s="4" t="s">
        <v>331</v>
      </c>
      <c r="C411" s="151" t="s">
        <v>682</v>
      </c>
      <c r="D411" s="152"/>
      <c r="E411" s="152"/>
      <c r="F411" s="4" t="s">
        <v>749</v>
      </c>
      <c r="G411" s="16">
        <v>5</v>
      </c>
      <c r="H411" s="16">
        <v>0</v>
      </c>
      <c r="I411" s="16">
        <f>G411*AO411</f>
        <v>0</v>
      </c>
      <c r="J411" s="16">
        <f>G411*AP411</f>
        <v>0</v>
      </c>
      <c r="K411" s="16">
        <f>G411*H411</f>
        <v>0</v>
      </c>
      <c r="L411" s="28" t="s">
        <v>775</v>
      </c>
      <c r="Z411" s="33">
        <f>IF(AQ411="5",BJ411,0)</f>
        <v>0</v>
      </c>
      <c r="AB411" s="33">
        <f>IF(AQ411="1",BH411,0)</f>
        <v>0</v>
      </c>
      <c r="AC411" s="33">
        <f>IF(AQ411="1",BI411,0)</f>
        <v>0</v>
      </c>
      <c r="AD411" s="33">
        <f>IF(AQ411="7",BH411,0)</f>
        <v>0</v>
      </c>
      <c r="AE411" s="33">
        <f>IF(AQ411="7",BI411,0)</f>
        <v>0</v>
      </c>
      <c r="AF411" s="33">
        <f>IF(AQ411="2",BH411,0)</f>
        <v>0</v>
      </c>
      <c r="AG411" s="33">
        <f>IF(AQ411="2",BI411,0)</f>
        <v>0</v>
      </c>
      <c r="AH411" s="33">
        <f>IF(AQ411="0",BJ411,0)</f>
        <v>0</v>
      </c>
      <c r="AI411" s="29"/>
      <c r="AJ411" s="16">
        <f>IF(AN411=0,K411,0)</f>
        <v>0</v>
      </c>
      <c r="AK411" s="16">
        <f>IF(AN411=15,K411,0)</f>
        <v>0</v>
      </c>
      <c r="AL411" s="16">
        <f>IF(AN411=21,K411,0)</f>
        <v>0</v>
      </c>
      <c r="AN411" s="33">
        <v>15</v>
      </c>
      <c r="AO411" s="33">
        <f>H411*0</f>
        <v>0</v>
      </c>
      <c r="AP411" s="33">
        <f>H411*(1-0)</f>
        <v>0</v>
      </c>
      <c r="AQ411" s="28" t="s">
        <v>8</v>
      </c>
      <c r="AV411" s="33">
        <f>AW411+AX411</f>
        <v>0</v>
      </c>
      <c r="AW411" s="33">
        <f>G411*AO411</f>
        <v>0</v>
      </c>
      <c r="AX411" s="33">
        <f>G411*AP411</f>
        <v>0</v>
      </c>
      <c r="AY411" s="34" t="s">
        <v>809</v>
      </c>
      <c r="AZ411" s="34" t="s">
        <v>818</v>
      </c>
      <c r="BA411" s="29" t="s">
        <v>820</v>
      </c>
      <c r="BC411" s="33">
        <f>AW411+AX411</f>
        <v>0</v>
      </c>
      <c r="BD411" s="33">
        <f>H411/(100-BE411)*100</f>
        <v>0</v>
      </c>
      <c r="BE411" s="33">
        <v>0</v>
      </c>
      <c r="BF411" s="33">
        <f>411</f>
        <v>411</v>
      </c>
      <c r="BH411" s="16">
        <f>G411*AO411</f>
        <v>0</v>
      </c>
      <c r="BI411" s="16">
        <f>G411*AP411</f>
        <v>0</v>
      </c>
      <c r="BJ411" s="16">
        <f>G411*H411</f>
        <v>0</v>
      </c>
    </row>
    <row r="412" spans="3:7" ht="10.5" customHeight="1">
      <c r="C412" s="153" t="s">
        <v>458</v>
      </c>
      <c r="D412" s="154"/>
      <c r="E412" s="154"/>
      <c r="G412" s="17">
        <v>5</v>
      </c>
    </row>
    <row r="413" spans="1:62" ht="12.75">
      <c r="A413" s="4" t="s">
        <v>156</v>
      </c>
      <c r="B413" s="4" t="s">
        <v>332</v>
      </c>
      <c r="C413" s="151" t="s">
        <v>683</v>
      </c>
      <c r="D413" s="152"/>
      <c r="E413" s="152"/>
      <c r="F413" s="4" t="s">
        <v>749</v>
      </c>
      <c r="G413" s="16">
        <v>6</v>
      </c>
      <c r="H413" s="16">
        <v>0</v>
      </c>
      <c r="I413" s="16">
        <f>G413*AO413</f>
        <v>0</v>
      </c>
      <c r="J413" s="16">
        <f>G413*AP413</f>
        <v>0</v>
      </c>
      <c r="K413" s="16">
        <f>G413*H413</f>
        <v>0</v>
      </c>
      <c r="L413" s="28" t="s">
        <v>775</v>
      </c>
      <c r="Z413" s="33">
        <f>IF(AQ413="5",BJ413,0)</f>
        <v>0</v>
      </c>
      <c r="AB413" s="33">
        <f>IF(AQ413="1",BH413,0)</f>
        <v>0</v>
      </c>
      <c r="AC413" s="33">
        <f>IF(AQ413="1",BI413,0)</f>
        <v>0</v>
      </c>
      <c r="AD413" s="33">
        <f>IF(AQ413="7",BH413,0)</f>
        <v>0</v>
      </c>
      <c r="AE413" s="33">
        <f>IF(AQ413="7",BI413,0)</f>
        <v>0</v>
      </c>
      <c r="AF413" s="33">
        <f>IF(AQ413="2",BH413,0)</f>
        <v>0</v>
      </c>
      <c r="AG413" s="33">
        <f>IF(AQ413="2",BI413,0)</f>
        <v>0</v>
      </c>
      <c r="AH413" s="33">
        <f>IF(AQ413="0",BJ413,0)</f>
        <v>0</v>
      </c>
      <c r="AI413" s="29"/>
      <c r="AJ413" s="16">
        <f>IF(AN413=0,K413,0)</f>
        <v>0</v>
      </c>
      <c r="AK413" s="16">
        <f>IF(AN413=15,K413,0)</f>
        <v>0</v>
      </c>
      <c r="AL413" s="16">
        <f>IF(AN413=21,K413,0)</f>
        <v>0</v>
      </c>
      <c r="AN413" s="33">
        <v>15</v>
      </c>
      <c r="AO413" s="33">
        <f>H413*0</f>
        <v>0</v>
      </c>
      <c r="AP413" s="33">
        <f>H413*(1-0)</f>
        <v>0</v>
      </c>
      <c r="AQ413" s="28" t="s">
        <v>8</v>
      </c>
      <c r="AV413" s="33">
        <f>AW413+AX413</f>
        <v>0</v>
      </c>
      <c r="AW413" s="33">
        <f>G413*AO413</f>
        <v>0</v>
      </c>
      <c r="AX413" s="33">
        <f>G413*AP413</f>
        <v>0</v>
      </c>
      <c r="AY413" s="34" t="s">
        <v>809</v>
      </c>
      <c r="AZ413" s="34" t="s">
        <v>818</v>
      </c>
      <c r="BA413" s="29" t="s">
        <v>820</v>
      </c>
      <c r="BC413" s="33">
        <f>AW413+AX413</f>
        <v>0</v>
      </c>
      <c r="BD413" s="33">
        <f>H413/(100-BE413)*100</f>
        <v>0</v>
      </c>
      <c r="BE413" s="33">
        <v>0</v>
      </c>
      <c r="BF413" s="33">
        <f>413</f>
        <v>413</v>
      </c>
      <c r="BH413" s="16">
        <f>G413*AO413</f>
        <v>0</v>
      </c>
      <c r="BI413" s="16">
        <f>G413*AP413</f>
        <v>0</v>
      </c>
      <c r="BJ413" s="16">
        <f>G413*H413</f>
        <v>0</v>
      </c>
    </row>
    <row r="414" spans="3:7" ht="10.5" customHeight="1">
      <c r="C414" s="153" t="s">
        <v>633</v>
      </c>
      <c r="D414" s="154"/>
      <c r="E414" s="154"/>
      <c r="G414" s="17">
        <v>6</v>
      </c>
    </row>
    <row r="415" spans="1:62" ht="12.75">
      <c r="A415" s="6" t="s">
        <v>157</v>
      </c>
      <c r="B415" s="6" t="s">
        <v>333</v>
      </c>
      <c r="C415" s="165" t="s">
        <v>684</v>
      </c>
      <c r="D415" s="166"/>
      <c r="E415" s="166"/>
      <c r="F415" s="6" t="s">
        <v>748</v>
      </c>
      <c r="G415" s="18">
        <v>12</v>
      </c>
      <c r="H415" s="18">
        <v>0</v>
      </c>
      <c r="I415" s="18">
        <f>G415*AO415</f>
        <v>0</v>
      </c>
      <c r="J415" s="18">
        <f>G415*AP415</f>
        <v>0</v>
      </c>
      <c r="K415" s="18">
        <f>G415*H415</f>
        <v>0</v>
      </c>
      <c r="L415" s="30" t="s">
        <v>775</v>
      </c>
      <c r="Z415" s="33">
        <f>IF(AQ415="5",BJ415,0)</f>
        <v>0</v>
      </c>
      <c r="AB415" s="33">
        <f>IF(AQ415="1",BH415,0)</f>
        <v>0</v>
      </c>
      <c r="AC415" s="33">
        <f>IF(AQ415="1",BI415,0)</f>
        <v>0</v>
      </c>
      <c r="AD415" s="33">
        <f>IF(AQ415="7",BH415,0)</f>
        <v>0</v>
      </c>
      <c r="AE415" s="33">
        <f>IF(AQ415="7",BI415,0)</f>
        <v>0</v>
      </c>
      <c r="AF415" s="33">
        <f>IF(AQ415="2",BH415,0)</f>
        <v>0</v>
      </c>
      <c r="AG415" s="33">
        <f>IF(AQ415="2",BI415,0)</f>
        <v>0</v>
      </c>
      <c r="AH415" s="33">
        <f>IF(AQ415="0",BJ415,0)</f>
        <v>0</v>
      </c>
      <c r="AI415" s="29"/>
      <c r="AJ415" s="18">
        <f>IF(AN415=0,K415,0)</f>
        <v>0</v>
      </c>
      <c r="AK415" s="18">
        <f>IF(AN415=15,K415,0)</f>
        <v>0</v>
      </c>
      <c r="AL415" s="18">
        <f>IF(AN415=21,K415,0)</f>
        <v>0</v>
      </c>
      <c r="AN415" s="33">
        <v>15</v>
      </c>
      <c r="AO415" s="33">
        <f>H415*1</f>
        <v>0</v>
      </c>
      <c r="AP415" s="33">
        <f>H415*(1-1)</f>
        <v>0</v>
      </c>
      <c r="AQ415" s="30" t="s">
        <v>7</v>
      </c>
      <c r="AV415" s="33">
        <f>AW415+AX415</f>
        <v>0</v>
      </c>
      <c r="AW415" s="33">
        <f>G415*AO415</f>
        <v>0</v>
      </c>
      <c r="AX415" s="33">
        <f>G415*AP415</f>
        <v>0</v>
      </c>
      <c r="AY415" s="34" t="s">
        <v>809</v>
      </c>
      <c r="AZ415" s="34" t="s">
        <v>818</v>
      </c>
      <c r="BA415" s="29" t="s">
        <v>820</v>
      </c>
      <c r="BC415" s="33">
        <f>AW415+AX415</f>
        <v>0</v>
      </c>
      <c r="BD415" s="33">
        <f>H415/(100-BE415)*100</f>
        <v>0</v>
      </c>
      <c r="BE415" s="33">
        <v>0</v>
      </c>
      <c r="BF415" s="33">
        <f>415</f>
        <v>415</v>
      </c>
      <c r="BH415" s="18">
        <f>G415*AO415</f>
        <v>0</v>
      </c>
      <c r="BI415" s="18">
        <f>G415*AP415</f>
        <v>0</v>
      </c>
      <c r="BJ415" s="18">
        <f>G415*H415</f>
        <v>0</v>
      </c>
    </row>
    <row r="416" spans="3:7" ht="10.5" customHeight="1">
      <c r="C416" s="153" t="s">
        <v>685</v>
      </c>
      <c r="D416" s="154"/>
      <c r="E416" s="154"/>
      <c r="G416" s="17">
        <v>12</v>
      </c>
    </row>
    <row r="417" spans="1:62" ht="12.75">
      <c r="A417" s="6" t="s">
        <v>158</v>
      </c>
      <c r="B417" s="6" t="s">
        <v>334</v>
      </c>
      <c r="C417" s="165" t="s">
        <v>686</v>
      </c>
      <c r="D417" s="166"/>
      <c r="E417" s="166"/>
      <c r="F417" s="6" t="s">
        <v>748</v>
      </c>
      <c r="G417" s="18">
        <v>6</v>
      </c>
      <c r="H417" s="18">
        <v>0</v>
      </c>
      <c r="I417" s="18">
        <f>G417*AO417</f>
        <v>0</v>
      </c>
      <c r="J417" s="18">
        <f>G417*AP417</f>
        <v>0</v>
      </c>
      <c r="K417" s="18">
        <f>G417*H417</f>
        <v>0</v>
      </c>
      <c r="L417" s="30" t="s">
        <v>775</v>
      </c>
      <c r="Z417" s="33">
        <f>IF(AQ417="5",BJ417,0)</f>
        <v>0</v>
      </c>
      <c r="AB417" s="33">
        <f>IF(AQ417="1",BH417,0)</f>
        <v>0</v>
      </c>
      <c r="AC417" s="33">
        <f>IF(AQ417="1",BI417,0)</f>
        <v>0</v>
      </c>
      <c r="AD417" s="33">
        <f>IF(AQ417="7",BH417,0)</f>
        <v>0</v>
      </c>
      <c r="AE417" s="33">
        <f>IF(AQ417="7",BI417,0)</f>
        <v>0</v>
      </c>
      <c r="AF417" s="33">
        <f>IF(AQ417="2",BH417,0)</f>
        <v>0</v>
      </c>
      <c r="AG417" s="33">
        <f>IF(AQ417="2",BI417,0)</f>
        <v>0</v>
      </c>
      <c r="AH417" s="33">
        <f>IF(AQ417="0",BJ417,0)</f>
        <v>0</v>
      </c>
      <c r="AI417" s="29"/>
      <c r="AJ417" s="18">
        <f>IF(AN417=0,K417,0)</f>
        <v>0</v>
      </c>
      <c r="AK417" s="18">
        <f>IF(AN417=15,K417,0)</f>
        <v>0</v>
      </c>
      <c r="AL417" s="18">
        <f>IF(AN417=21,K417,0)</f>
        <v>0</v>
      </c>
      <c r="AN417" s="33">
        <v>15</v>
      </c>
      <c r="AO417" s="33">
        <f>H417*1</f>
        <v>0</v>
      </c>
      <c r="AP417" s="33">
        <f>H417*(1-1)</f>
        <v>0</v>
      </c>
      <c r="AQ417" s="30" t="s">
        <v>7</v>
      </c>
      <c r="AV417" s="33">
        <f>AW417+AX417</f>
        <v>0</v>
      </c>
      <c r="AW417" s="33">
        <f>G417*AO417</f>
        <v>0</v>
      </c>
      <c r="AX417" s="33">
        <f>G417*AP417</f>
        <v>0</v>
      </c>
      <c r="AY417" s="34" t="s">
        <v>809</v>
      </c>
      <c r="AZ417" s="34" t="s">
        <v>818</v>
      </c>
      <c r="BA417" s="29" t="s">
        <v>820</v>
      </c>
      <c r="BC417" s="33">
        <f>AW417+AX417</f>
        <v>0</v>
      </c>
      <c r="BD417" s="33">
        <f>H417/(100-BE417)*100</f>
        <v>0</v>
      </c>
      <c r="BE417" s="33">
        <v>0</v>
      </c>
      <c r="BF417" s="33">
        <f>417</f>
        <v>417</v>
      </c>
      <c r="BH417" s="18">
        <f>G417*AO417</f>
        <v>0</v>
      </c>
      <c r="BI417" s="18">
        <f>G417*AP417</f>
        <v>0</v>
      </c>
      <c r="BJ417" s="18">
        <f>G417*H417</f>
        <v>0</v>
      </c>
    </row>
    <row r="418" spans="3:7" ht="10.5" customHeight="1">
      <c r="C418" s="153" t="s">
        <v>633</v>
      </c>
      <c r="D418" s="154"/>
      <c r="E418" s="154"/>
      <c r="G418" s="17">
        <v>6</v>
      </c>
    </row>
    <row r="419" spans="1:62" ht="12.75">
      <c r="A419" s="6" t="s">
        <v>159</v>
      </c>
      <c r="B419" s="6" t="s">
        <v>335</v>
      </c>
      <c r="C419" s="165" t="s">
        <v>687</v>
      </c>
      <c r="D419" s="166"/>
      <c r="E419" s="166"/>
      <c r="F419" s="6" t="s">
        <v>748</v>
      </c>
      <c r="G419" s="18">
        <v>5</v>
      </c>
      <c r="H419" s="18">
        <v>0</v>
      </c>
      <c r="I419" s="18">
        <f>G419*AO419</f>
        <v>0</v>
      </c>
      <c r="J419" s="18">
        <f>G419*AP419</f>
        <v>0</v>
      </c>
      <c r="K419" s="18">
        <f>G419*H419</f>
        <v>0</v>
      </c>
      <c r="L419" s="30" t="s">
        <v>775</v>
      </c>
      <c r="Z419" s="33">
        <f>IF(AQ419="5",BJ419,0)</f>
        <v>0</v>
      </c>
      <c r="AB419" s="33">
        <f>IF(AQ419="1",BH419,0)</f>
        <v>0</v>
      </c>
      <c r="AC419" s="33">
        <f>IF(AQ419="1",BI419,0)</f>
        <v>0</v>
      </c>
      <c r="AD419" s="33">
        <f>IF(AQ419="7",BH419,0)</f>
        <v>0</v>
      </c>
      <c r="AE419" s="33">
        <f>IF(AQ419="7",BI419,0)</f>
        <v>0</v>
      </c>
      <c r="AF419" s="33">
        <f>IF(AQ419="2",BH419,0)</f>
        <v>0</v>
      </c>
      <c r="AG419" s="33">
        <f>IF(AQ419="2",BI419,0)</f>
        <v>0</v>
      </c>
      <c r="AH419" s="33">
        <f>IF(AQ419="0",BJ419,0)</f>
        <v>0</v>
      </c>
      <c r="AI419" s="29"/>
      <c r="AJ419" s="18">
        <f>IF(AN419=0,K419,0)</f>
        <v>0</v>
      </c>
      <c r="AK419" s="18">
        <f>IF(AN419=15,K419,0)</f>
        <v>0</v>
      </c>
      <c r="AL419" s="18">
        <f>IF(AN419=21,K419,0)</f>
        <v>0</v>
      </c>
      <c r="AN419" s="33">
        <v>15</v>
      </c>
      <c r="AO419" s="33">
        <f>H419*1</f>
        <v>0</v>
      </c>
      <c r="AP419" s="33">
        <f>H419*(1-1)</f>
        <v>0</v>
      </c>
      <c r="AQ419" s="30" t="s">
        <v>7</v>
      </c>
      <c r="AV419" s="33">
        <f>AW419+AX419</f>
        <v>0</v>
      </c>
      <c r="AW419" s="33">
        <f>G419*AO419</f>
        <v>0</v>
      </c>
      <c r="AX419" s="33">
        <f>G419*AP419</f>
        <v>0</v>
      </c>
      <c r="AY419" s="34" t="s">
        <v>809</v>
      </c>
      <c r="AZ419" s="34" t="s">
        <v>818</v>
      </c>
      <c r="BA419" s="29" t="s">
        <v>820</v>
      </c>
      <c r="BC419" s="33">
        <f>AW419+AX419</f>
        <v>0</v>
      </c>
      <c r="BD419" s="33">
        <f>H419/(100-BE419)*100</f>
        <v>0</v>
      </c>
      <c r="BE419" s="33">
        <v>0</v>
      </c>
      <c r="BF419" s="33">
        <f>419</f>
        <v>419</v>
      </c>
      <c r="BH419" s="18">
        <f>G419*AO419</f>
        <v>0</v>
      </c>
      <c r="BI419" s="18">
        <f>G419*AP419</f>
        <v>0</v>
      </c>
      <c r="BJ419" s="18">
        <f>G419*H419</f>
        <v>0</v>
      </c>
    </row>
    <row r="420" spans="3:7" ht="10.5" customHeight="1">
      <c r="C420" s="153" t="s">
        <v>458</v>
      </c>
      <c r="D420" s="154"/>
      <c r="E420" s="154"/>
      <c r="G420" s="17">
        <v>5</v>
      </c>
    </row>
    <row r="421" spans="1:62" ht="12.75">
      <c r="A421" s="6" t="s">
        <v>160</v>
      </c>
      <c r="B421" s="6" t="s">
        <v>336</v>
      </c>
      <c r="C421" s="165" t="s">
        <v>688</v>
      </c>
      <c r="D421" s="166"/>
      <c r="E421" s="166"/>
      <c r="F421" s="6" t="s">
        <v>748</v>
      </c>
      <c r="G421" s="18">
        <v>6</v>
      </c>
      <c r="H421" s="18">
        <v>0</v>
      </c>
      <c r="I421" s="18">
        <f>G421*AO421</f>
        <v>0</v>
      </c>
      <c r="J421" s="18">
        <f>G421*AP421</f>
        <v>0</v>
      </c>
      <c r="K421" s="18">
        <f>G421*H421</f>
        <v>0</v>
      </c>
      <c r="L421" s="30" t="s">
        <v>775</v>
      </c>
      <c r="Z421" s="33">
        <f>IF(AQ421="5",BJ421,0)</f>
        <v>0</v>
      </c>
      <c r="AB421" s="33">
        <f>IF(AQ421="1",BH421,0)</f>
        <v>0</v>
      </c>
      <c r="AC421" s="33">
        <f>IF(AQ421="1",BI421,0)</f>
        <v>0</v>
      </c>
      <c r="AD421" s="33">
        <f>IF(AQ421="7",BH421,0)</f>
        <v>0</v>
      </c>
      <c r="AE421" s="33">
        <f>IF(AQ421="7",BI421,0)</f>
        <v>0</v>
      </c>
      <c r="AF421" s="33">
        <f>IF(AQ421="2",BH421,0)</f>
        <v>0</v>
      </c>
      <c r="AG421" s="33">
        <f>IF(AQ421="2",BI421,0)</f>
        <v>0</v>
      </c>
      <c r="AH421" s="33">
        <f>IF(AQ421="0",BJ421,0)</f>
        <v>0</v>
      </c>
      <c r="AI421" s="29"/>
      <c r="AJ421" s="18">
        <f>IF(AN421=0,K421,0)</f>
        <v>0</v>
      </c>
      <c r="AK421" s="18">
        <f>IF(AN421=15,K421,0)</f>
        <v>0</v>
      </c>
      <c r="AL421" s="18">
        <f>IF(AN421=21,K421,0)</f>
        <v>0</v>
      </c>
      <c r="AN421" s="33">
        <v>15</v>
      </c>
      <c r="AO421" s="33">
        <f>H421*1</f>
        <v>0</v>
      </c>
      <c r="AP421" s="33">
        <f>H421*(1-1)</f>
        <v>0</v>
      </c>
      <c r="AQ421" s="30" t="s">
        <v>7</v>
      </c>
      <c r="AV421" s="33">
        <f>AW421+AX421</f>
        <v>0</v>
      </c>
      <c r="AW421" s="33">
        <f>G421*AO421</f>
        <v>0</v>
      </c>
      <c r="AX421" s="33">
        <f>G421*AP421</f>
        <v>0</v>
      </c>
      <c r="AY421" s="34" t="s">
        <v>809</v>
      </c>
      <c r="AZ421" s="34" t="s">
        <v>818</v>
      </c>
      <c r="BA421" s="29" t="s">
        <v>820</v>
      </c>
      <c r="BC421" s="33">
        <f>AW421+AX421</f>
        <v>0</v>
      </c>
      <c r="BD421" s="33">
        <f>H421/(100-BE421)*100</f>
        <v>0</v>
      </c>
      <c r="BE421" s="33">
        <v>0</v>
      </c>
      <c r="BF421" s="33">
        <f>421</f>
        <v>421</v>
      </c>
      <c r="BH421" s="18">
        <f>G421*AO421</f>
        <v>0</v>
      </c>
      <c r="BI421" s="18">
        <f>G421*AP421</f>
        <v>0</v>
      </c>
      <c r="BJ421" s="18">
        <f>G421*H421</f>
        <v>0</v>
      </c>
    </row>
    <row r="422" spans="3:7" ht="10.5" customHeight="1">
      <c r="C422" s="153" t="s">
        <v>633</v>
      </c>
      <c r="D422" s="154"/>
      <c r="E422" s="154"/>
      <c r="G422" s="17">
        <v>6</v>
      </c>
    </row>
    <row r="423" spans="1:62" ht="12.75">
      <c r="A423" s="4" t="s">
        <v>161</v>
      </c>
      <c r="B423" s="4" t="s">
        <v>337</v>
      </c>
      <c r="C423" s="151" t="s">
        <v>689</v>
      </c>
      <c r="D423" s="152"/>
      <c r="E423" s="152"/>
      <c r="F423" s="4" t="s">
        <v>748</v>
      </c>
      <c r="G423" s="16">
        <v>4</v>
      </c>
      <c r="H423" s="16">
        <v>0</v>
      </c>
      <c r="I423" s="16">
        <f>G423*AO423</f>
        <v>0</v>
      </c>
      <c r="J423" s="16">
        <f>G423*AP423</f>
        <v>0</v>
      </c>
      <c r="K423" s="16">
        <f>G423*H423</f>
        <v>0</v>
      </c>
      <c r="L423" s="28" t="s">
        <v>775</v>
      </c>
      <c r="Z423" s="33">
        <f>IF(AQ423="5",BJ423,0)</f>
        <v>0</v>
      </c>
      <c r="AB423" s="33">
        <f>IF(AQ423="1",BH423,0)</f>
        <v>0</v>
      </c>
      <c r="AC423" s="33">
        <f>IF(AQ423="1",BI423,0)</f>
        <v>0</v>
      </c>
      <c r="AD423" s="33">
        <f>IF(AQ423="7",BH423,0)</f>
        <v>0</v>
      </c>
      <c r="AE423" s="33">
        <f>IF(AQ423="7",BI423,0)</f>
        <v>0</v>
      </c>
      <c r="AF423" s="33">
        <f>IF(AQ423="2",BH423,0)</f>
        <v>0</v>
      </c>
      <c r="AG423" s="33">
        <f>IF(AQ423="2",BI423,0)</f>
        <v>0</v>
      </c>
      <c r="AH423" s="33">
        <f>IF(AQ423="0",BJ423,0)</f>
        <v>0</v>
      </c>
      <c r="AI423" s="29"/>
      <c r="AJ423" s="16">
        <f>IF(AN423=0,K423,0)</f>
        <v>0</v>
      </c>
      <c r="AK423" s="16">
        <f>IF(AN423=15,K423,0)</f>
        <v>0</v>
      </c>
      <c r="AL423" s="16">
        <f>IF(AN423=21,K423,0)</f>
        <v>0</v>
      </c>
      <c r="AN423" s="33">
        <v>15</v>
      </c>
      <c r="AO423" s="33">
        <f>H423*0</f>
        <v>0</v>
      </c>
      <c r="AP423" s="33">
        <f>H423*(1-0)</f>
        <v>0</v>
      </c>
      <c r="AQ423" s="28" t="s">
        <v>8</v>
      </c>
      <c r="AV423" s="33">
        <f>AW423+AX423</f>
        <v>0</v>
      </c>
      <c r="AW423" s="33">
        <f>G423*AO423</f>
        <v>0</v>
      </c>
      <c r="AX423" s="33">
        <f>G423*AP423</f>
        <v>0</v>
      </c>
      <c r="AY423" s="34" t="s">
        <v>809</v>
      </c>
      <c r="AZ423" s="34" t="s">
        <v>818</v>
      </c>
      <c r="BA423" s="29" t="s">
        <v>820</v>
      </c>
      <c r="BC423" s="33">
        <f>AW423+AX423</f>
        <v>0</v>
      </c>
      <c r="BD423" s="33">
        <f>H423/(100-BE423)*100</f>
        <v>0</v>
      </c>
      <c r="BE423" s="33">
        <v>0</v>
      </c>
      <c r="BF423" s="33">
        <f>423</f>
        <v>423</v>
      </c>
      <c r="BH423" s="16">
        <f>G423*AO423</f>
        <v>0</v>
      </c>
      <c r="BI423" s="16">
        <f>G423*AP423</f>
        <v>0</v>
      </c>
      <c r="BJ423" s="16">
        <f>G423*H423</f>
        <v>0</v>
      </c>
    </row>
    <row r="424" spans="3:7" ht="10.5" customHeight="1">
      <c r="C424" s="153" t="s">
        <v>690</v>
      </c>
      <c r="D424" s="154"/>
      <c r="E424" s="154"/>
      <c r="G424" s="17">
        <v>4</v>
      </c>
    </row>
    <row r="425" spans="1:62" ht="12.75">
      <c r="A425" s="6" t="s">
        <v>162</v>
      </c>
      <c r="B425" s="6" t="s">
        <v>338</v>
      </c>
      <c r="C425" s="165" t="s">
        <v>691</v>
      </c>
      <c r="D425" s="166"/>
      <c r="E425" s="166"/>
      <c r="F425" s="6" t="s">
        <v>748</v>
      </c>
      <c r="G425" s="18">
        <v>2</v>
      </c>
      <c r="H425" s="18">
        <v>0</v>
      </c>
      <c r="I425" s="18">
        <f>G425*AO425</f>
        <v>0</v>
      </c>
      <c r="J425" s="18">
        <f>G425*AP425</f>
        <v>0</v>
      </c>
      <c r="K425" s="18">
        <f>G425*H425</f>
        <v>0</v>
      </c>
      <c r="L425" s="30" t="s">
        <v>775</v>
      </c>
      <c r="Z425" s="33">
        <f>IF(AQ425="5",BJ425,0)</f>
        <v>0</v>
      </c>
      <c r="AB425" s="33">
        <f>IF(AQ425="1",BH425,0)</f>
        <v>0</v>
      </c>
      <c r="AC425" s="33">
        <f>IF(AQ425="1",BI425,0)</f>
        <v>0</v>
      </c>
      <c r="AD425" s="33">
        <f>IF(AQ425="7",BH425,0)</f>
        <v>0</v>
      </c>
      <c r="AE425" s="33">
        <f>IF(AQ425="7",BI425,0)</f>
        <v>0</v>
      </c>
      <c r="AF425" s="33">
        <f>IF(AQ425="2",BH425,0)</f>
        <v>0</v>
      </c>
      <c r="AG425" s="33">
        <f>IF(AQ425="2",BI425,0)</f>
        <v>0</v>
      </c>
      <c r="AH425" s="33">
        <f>IF(AQ425="0",BJ425,0)</f>
        <v>0</v>
      </c>
      <c r="AI425" s="29"/>
      <c r="AJ425" s="18">
        <f>IF(AN425=0,K425,0)</f>
        <v>0</v>
      </c>
      <c r="AK425" s="18">
        <f>IF(AN425=15,K425,0)</f>
        <v>0</v>
      </c>
      <c r="AL425" s="18">
        <f>IF(AN425=21,K425,0)</f>
        <v>0</v>
      </c>
      <c r="AN425" s="33">
        <v>15</v>
      </c>
      <c r="AO425" s="33">
        <f>H425*1</f>
        <v>0</v>
      </c>
      <c r="AP425" s="33">
        <f>H425*(1-1)</f>
        <v>0</v>
      </c>
      <c r="AQ425" s="30" t="s">
        <v>7</v>
      </c>
      <c r="AV425" s="33">
        <f>AW425+AX425</f>
        <v>0</v>
      </c>
      <c r="AW425" s="33">
        <f>G425*AO425</f>
        <v>0</v>
      </c>
      <c r="AX425" s="33">
        <f>G425*AP425</f>
        <v>0</v>
      </c>
      <c r="AY425" s="34" t="s">
        <v>809</v>
      </c>
      <c r="AZ425" s="34" t="s">
        <v>818</v>
      </c>
      <c r="BA425" s="29" t="s">
        <v>820</v>
      </c>
      <c r="BC425" s="33">
        <f>AW425+AX425</f>
        <v>0</v>
      </c>
      <c r="BD425" s="33">
        <f>H425/(100-BE425)*100</f>
        <v>0</v>
      </c>
      <c r="BE425" s="33">
        <v>0</v>
      </c>
      <c r="BF425" s="33">
        <f>425</f>
        <v>425</v>
      </c>
      <c r="BH425" s="18">
        <f>G425*AO425</f>
        <v>0</v>
      </c>
      <c r="BI425" s="18">
        <f>G425*AP425</f>
        <v>0</v>
      </c>
      <c r="BJ425" s="18">
        <f>G425*H425</f>
        <v>0</v>
      </c>
    </row>
    <row r="426" spans="3:7" ht="10.5" customHeight="1">
      <c r="C426" s="153" t="s">
        <v>382</v>
      </c>
      <c r="D426" s="154"/>
      <c r="E426" s="154"/>
      <c r="G426" s="17">
        <v>2</v>
      </c>
    </row>
    <row r="427" spans="1:62" ht="12.75">
      <c r="A427" s="6" t="s">
        <v>163</v>
      </c>
      <c r="B427" s="6" t="s">
        <v>339</v>
      </c>
      <c r="C427" s="165" t="s">
        <v>692</v>
      </c>
      <c r="D427" s="166"/>
      <c r="E427" s="166"/>
      <c r="F427" s="6" t="s">
        <v>748</v>
      </c>
      <c r="G427" s="18">
        <v>1</v>
      </c>
      <c r="H427" s="18">
        <v>0</v>
      </c>
      <c r="I427" s="18">
        <f>G427*AO427</f>
        <v>0</v>
      </c>
      <c r="J427" s="18">
        <f>G427*AP427</f>
        <v>0</v>
      </c>
      <c r="K427" s="18">
        <f>G427*H427</f>
        <v>0</v>
      </c>
      <c r="L427" s="30" t="s">
        <v>775</v>
      </c>
      <c r="Z427" s="33">
        <f>IF(AQ427="5",BJ427,0)</f>
        <v>0</v>
      </c>
      <c r="AB427" s="33">
        <f>IF(AQ427="1",BH427,0)</f>
        <v>0</v>
      </c>
      <c r="AC427" s="33">
        <f>IF(AQ427="1",BI427,0)</f>
        <v>0</v>
      </c>
      <c r="AD427" s="33">
        <f>IF(AQ427="7",BH427,0)</f>
        <v>0</v>
      </c>
      <c r="AE427" s="33">
        <f>IF(AQ427="7",BI427,0)</f>
        <v>0</v>
      </c>
      <c r="AF427" s="33">
        <f>IF(AQ427="2",BH427,0)</f>
        <v>0</v>
      </c>
      <c r="AG427" s="33">
        <f>IF(AQ427="2",BI427,0)</f>
        <v>0</v>
      </c>
      <c r="AH427" s="33">
        <f>IF(AQ427="0",BJ427,0)</f>
        <v>0</v>
      </c>
      <c r="AI427" s="29"/>
      <c r="AJ427" s="18">
        <f>IF(AN427=0,K427,0)</f>
        <v>0</v>
      </c>
      <c r="AK427" s="18">
        <f>IF(AN427=15,K427,0)</f>
        <v>0</v>
      </c>
      <c r="AL427" s="18">
        <f>IF(AN427=21,K427,0)</f>
        <v>0</v>
      </c>
      <c r="AN427" s="33">
        <v>15</v>
      </c>
      <c r="AO427" s="33">
        <f>H427*1</f>
        <v>0</v>
      </c>
      <c r="AP427" s="33">
        <f>H427*(1-1)</f>
        <v>0</v>
      </c>
      <c r="AQ427" s="30" t="s">
        <v>7</v>
      </c>
      <c r="AV427" s="33">
        <f>AW427+AX427</f>
        <v>0</v>
      </c>
      <c r="AW427" s="33">
        <f>G427*AO427</f>
        <v>0</v>
      </c>
      <c r="AX427" s="33">
        <f>G427*AP427</f>
        <v>0</v>
      </c>
      <c r="AY427" s="34" t="s">
        <v>809</v>
      </c>
      <c r="AZ427" s="34" t="s">
        <v>818</v>
      </c>
      <c r="BA427" s="29" t="s">
        <v>820</v>
      </c>
      <c r="BC427" s="33">
        <f>AW427+AX427</f>
        <v>0</v>
      </c>
      <c r="BD427" s="33">
        <f>H427/(100-BE427)*100</f>
        <v>0</v>
      </c>
      <c r="BE427" s="33">
        <v>0</v>
      </c>
      <c r="BF427" s="33">
        <f>427</f>
        <v>427</v>
      </c>
      <c r="BH427" s="18">
        <f>G427*AO427</f>
        <v>0</v>
      </c>
      <c r="BI427" s="18">
        <f>G427*AP427</f>
        <v>0</v>
      </c>
      <c r="BJ427" s="18">
        <f>G427*H427</f>
        <v>0</v>
      </c>
    </row>
    <row r="428" spans="3:7" ht="10.5" customHeight="1">
      <c r="C428" s="153" t="s">
        <v>429</v>
      </c>
      <c r="D428" s="154"/>
      <c r="E428" s="154"/>
      <c r="G428" s="17">
        <v>1</v>
      </c>
    </row>
    <row r="429" spans="1:62" ht="12.75">
      <c r="A429" s="6" t="s">
        <v>164</v>
      </c>
      <c r="B429" s="6" t="s">
        <v>340</v>
      </c>
      <c r="C429" s="165" t="s">
        <v>693</v>
      </c>
      <c r="D429" s="166"/>
      <c r="E429" s="166"/>
      <c r="F429" s="6" t="s">
        <v>748</v>
      </c>
      <c r="G429" s="18">
        <v>1</v>
      </c>
      <c r="H429" s="18">
        <v>0</v>
      </c>
      <c r="I429" s="18">
        <f>G429*AO429</f>
        <v>0</v>
      </c>
      <c r="J429" s="18">
        <f>G429*AP429</f>
        <v>0</v>
      </c>
      <c r="K429" s="18">
        <f>G429*H429</f>
        <v>0</v>
      </c>
      <c r="L429" s="30" t="s">
        <v>775</v>
      </c>
      <c r="Z429" s="33">
        <f>IF(AQ429="5",BJ429,0)</f>
        <v>0</v>
      </c>
      <c r="AB429" s="33">
        <f>IF(AQ429="1",BH429,0)</f>
        <v>0</v>
      </c>
      <c r="AC429" s="33">
        <f>IF(AQ429="1",BI429,0)</f>
        <v>0</v>
      </c>
      <c r="AD429" s="33">
        <f>IF(AQ429="7",BH429,0)</f>
        <v>0</v>
      </c>
      <c r="AE429" s="33">
        <f>IF(AQ429="7",BI429,0)</f>
        <v>0</v>
      </c>
      <c r="AF429" s="33">
        <f>IF(AQ429="2",BH429,0)</f>
        <v>0</v>
      </c>
      <c r="AG429" s="33">
        <f>IF(AQ429="2",BI429,0)</f>
        <v>0</v>
      </c>
      <c r="AH429" s="33">
        <f>IF(AQ429="0",BJ429,0)</f>
        <v>0</v>
      </c>
      <c r="AI429" s="29"/>
      <c r="AJ429" s="18">
        <f>IF(AN429=0,K429,0)</f>
        <v>0</v>
      </c>
      <c r="AK429" s="18">
        <f>IF(AN429=15,K429,0)</f>
        <v>0</v>
      </c>
      <c r="AL429" s="18">
        <f>IF(AN429=21,K429,0)</f>
        <v>0</v>
      </c>
      <c r="AN429" s="33">
        <v>15</v>
      </c>
      <c r="AO429" s="33">
        <f>H429*1</f>
        <v>0</v>
      </c>
      <c r="AP429" s="33">
        <f>H429*(1-1)</f>
        <v>0</v>
      </c>
      <c r="AQ429" s="30" t="s">
        <v>7</v>
      </c>
      <c r="AV429" s="33">
        <f>AW429+AX429</f>
        <v>0</v>
      </c>
      <c r="AW429" s="33">
        <f>G429*AO429</f>
        <v>0</v>
      </c>
      <c r="AX429" s="33">
        <f>G429*AP429</f>
        <v>0</v>
      </c>
      <c r="AY429" s="34" t="s">
        <v>809</v>
      </c>
      <c r="AZ429" s="34" t="s">
        <v>818</v>
      </c>
      <c r="BA429" s="29" t="s">
        <v>820</v>
      </c>
      <c r="BC429" s="33">
        <f>AW429+AX429</f>
        <v>0</v>
      </c>
      <c r="BD429" s="33">
        <f>H429/(100-BE429)*100</f>
        <v>0</v>
      </c>
      <c r="BE429" s="33">
        <v>0</v>
      </c>
      <c r="BF429" s="33">
        <f>429</f>
        <v>429</v>
      </c>
      <c r="BH429" s="18">
        <f>G429*AO429</f>
        <v>0</v>
      </c>
      <c r="BI429" s="18">
        <f>G429*AP429</f>
        <v>0</v>
      </c>
      <c r="BJ429" s="18">
        <f>G429*H429</f>
        <v>0</v>
      </c>
    </row>
    <row r="430" spans="3:7" ht="10.5" customHeight="1">
      <c r="C430" s="153" t="s">
        <v>429</v>
      </c>
      <c r="D430" s="154"/>
      <c r="E430" s="154"/>
      <c r="G430" s="17">
        <v>1</v>
      </c>
    </row>
    <row r="431" spans="1:62" ht="12.75">
      <c r="A431" s="4" t="s">
        <v>165</v>
      </c>
      <c r="B431" s="4" t="s">
        <v>341</v>
      </c>
      <c r="C431" s="151" t="s">
        <v>694</v>
      </c>
      <c r="D431" s="152"/>
      <c r="E431" s="152"/>
      <c r="F431" s="4" t="s">
        <v>748</v>
      </c>
      <c r="G431" s="16">
        <v>1</v>
      </c>
      <c r="H431" s="16">
        <v>0</v>
      </c>
      <c r="I431" s="16">
        <f>G431*AO431</f>
        <v>0</v>
      </c>
      <c r="J431" s="16">
        <f>G431*AP431</f>
        <v>0</v>
      </c>
      <c r="K431" s="16">
        <f>G431*H431</f>
        <v>0</v>
      </c>
      <c r="L431" s="28" t="s">
        <v>775</v>
      </c>
      <c r="Z431" s="33">
        <f>IF(AQ431="5",BJ431,0)</f>
        <v>0</v>
      </c>
      <c r="AB431" s="33">
        <f>IF(AQ431="1",BH431,0)</f>
        <v>0</v>
      </c>
      <c r="AC431" s="33">
        <f>IF(AQ431="1",BI431,0)</f>
        <v>0</v>
      </c>
      <c r="AD431" s="33">
        <f>IF(AQ431="7",BH431,0)</f>
        <v>0</v>
      </c>
      <c r="AE431" s="33">
        <f>IF(AQ431="7",BI431,0)</f>
        <v>0</v>
      </c>
      <c r="AF431" s="33">
        <f>IF(AQ431="2",BH431,0)</f>
        <v>0</v>
      </c>
      <c r="AG431" s="33">
        <f>IF(AQ431="2",BI431,0)</f>
        <v>0</v>
      </c>
      <c r="AH431" s="33">
        <f>IF(AQ431="0",BJ431,0)</f>
        <v>0</v>
      </c>
      <c r="AI431" s="29"/>
      <c r="AJ431" s="16">
        <f>IF(AN431=0,K431,0)</f>
        <v>0</v>
      </c>
      <c r="AK431" s="16">
        <f>IF(AN431=15,K431,0)</f>
        <v>0</v>
      </c>
      <c r="AL431" s="16">
        <f>IF(AN431=21,K431,0)</f>
        <v>0</v>
      </c>
      <c r="AN431" s="33">
        <v>15</v>
      </c>
      <c r="AO431" s="33">
        <f>H431*0</f>
        <v>0</v>
      </c>
      <c r="AP431" s="33">
        <f>H431*(1-0)</f>
        <v>0</v>
      </c>
      <c r="AQ431" s="28" t="s">
        <v>8</v>
      </c>
      <c r="AV431" s="33">
        <f>AW431+AX431</f>
        <v>0</v>
      </c>
      <c r="AW431" s="33">
        <f>G431*AO431</f>
        <v>0</v>
      </c>
      <c r="AX431" s="33">
        <f>G431*AP431</f>
        <v>0</v>
      </c>
      <c r="AY431" s="34" t="s">
        <v>809</v>
      </c>
      <c r="AZ431" s="34" t="s">
        <v>818</v>
      </c>
      <c r="BA431" s="29" t="s">
        <v>820</v>
      </c>
      <c r="BC431" s="33">
        <f>AW431+AX431</f>
        <v>0</v>
      </c>
      <c r="BD431" s="33">
        <f>H431/(100-BE431)*100</f>
        <v>0</v>
      </c>
      <c r="BE431" s="33">
        <v>0</v>
      </c>
      <c r="BF431" s="33">
        <f>431</f>
        <v>431</v>
      </c>
      <c r="BH431" s="16">
        <f>G431*AO431</f>
        <v>0</v>
      </c>
      <c r="BI431" s="16">
        <f>G431*AP431</f>
        <v>0</v>
      </c>
      <c r="BJ431" s="16">
        <f>G431*H431</f>
        <v>0</v>
      </c>
    </row>
    <row r="432" spans="3:5" ht="12.75">
      <c r="C432" s="155" t="s">
        <v>695</v>
      </c>
      <c r="D432" s="156"/>
      <c r="E432" s="156"/>
    </row>
    <row r="433" spans="3:7" ht="10.5" customHeight="1">
      <c r="C433" s="153" t="s">
        <v>429</v>
      </c>
      <c r="D433" s="154"/>
      <c r="E433" s="154"/>
      <c r="G433" s="17">
        <v>1</v>
      </c>
    </row>
    <row r="434" spans="1:62" ht="12.75">
      <c r="A434" s="4" t="s">
        <v>166</v>
      </c>
      <c r="B434" s="4" t="s">
        <v>342</v>
      </c>
      <c r="C434" s="151" t="s">
        <v>696</v>
      </c>
      <c r="D434" s="152"/>
      <c r="E434" s="152"/>
      <c r="F434" s="4" t="s">
        <v>749</v>
      </c>
      <c r="G434" s="16">
        <v>20</v>
      </c>
      <c r="H434" s="16">
        <v>0</v>
      </c>
      <c r="I434" s="16">
        <f>G434*AO434</f>
        <v>0</v>
      </c>
      <c r="J434" s="16">
        <f>G434*AP434</f>
        <v>0</v>
      </c>
      <c r="K434" s="16">
        <f>G434*H434</f>
        <v>0</v>
      </c>
      <c r="L434" s="28" t="s">
        <v>775</v>
      </c>
      <c r="Z434" s="33">
        <f>IF(AQ434="5",BJ434,0)</f>
        <v>0</v>
      </c>
      <c r="AB434" s="33">
        <f>IF(AQ434="1",BH434,0)</f>
        <v>0</v>
      </c>
      <c r="AC434" s="33">
        <f>IF(AQ434="1",BI434,0)</f>
        <v>0</v>
      </c>
      <c r="AD434" s="33">
        <f>IF(AQ434="7",BH434,0)</f>
        <v>0</v>
      </c>
      <c r="AE434" s="33">
        <f>IF(AQ434="7",BI434,0)</f>
        <v>0</v>
      </c>
      <c r="AF434" s="33">
        <f>IF(AQ434="2",BH434,0)</f>
        <v>0</v>
      </c>
      <c r="AG434" s="33">
        <f>IF(AQ434="2",BI434,0)</f>
        <v>0</v>
      </c>
      <c r="AH434" s="33">
        <f>IF(AQ434="0",BJ434,0)</f>
        <v>0</v>
      </c>
      <c r="AI434" s="29"/>
      <c r="AJ434" s="16">
        <f>IF(AN434=0,K434,0)</f>
        <v>0</v>
      </c>
      <c r="AK434" s="16">
        <f>IF(AN434=15,K434,0)</f>
        <v>0</v>
      </c>
      <c r="AL434" s="16">
        <f>IF(AN434=21,K434,0)</f>
        <v>0</v>
      </c>
      <c r="AN434" s="33">
        <v>15</v>
      </c>
      <c r="AO434" s="33">
        <f>H434*0</f>
        <v>0</v>
      </c>
      <c r="AP434" s="33">
        <f>H434*(1-0)</f>
        <v>0</v>
      </c>
      <c r="AQ434" s="28" t="s">
        <v>8</v>
      </c>
      <c r="AV434" s="33">
        <f>AW434+AX434</f>
        <v>0</v>
      </c>
      <c r="AW434" s="33">
        <f>G434*AO434</f>
        <v>0</v>
      </c>
      <c r="AX434" s="33">
        <f>G434*AP434</f>
        <v>0</v>
      </c>
      <c r="AY434" s="34" t="s">
        <v>809</v>
      </c>
      <c r="AZ434" s="34" t="s">
        <v>818</v>
      </c>
      <c r="BA434" s="29" t="s">
        <v>820</v>
      </c>
      <c r="BC434" s="33">
        <f>AW434+AX434</f>
        <v>0</v>
      </c>
      <c r="BD434" s="33">
        <f>H434/(100-BE434)*100</f>
        <v>0</v>
      </c>
      <c r="BE434" s="33">
        <v>0</v>
      </c>
      <c r="BF434" s="33">
        <f>434</f>
        <v>434</v>
      </c>
      <c r="BH434" s="16">
        <f>G434*AO434</f>
        <v>0</v>
      </c>
      <c r="BI434" s="16">
        <f>G434*AP434</f>
        <v>0</v>
      </c>
      <c r="BJ434" s="16">
        <f>G434*H434</f>
        <v>0</v>
      </c>
    </row>
    <row r="435" spans="3:7" ht="10.5" customHeight="1">
      <c r="C435" s="153" t="s">
        <v>697</v>
      </c>
      <c r="D435" s="154"/>
      <c r="E435" s="154"/>
      <c r="G435" s="17">
        <v>20</v>
      </c>
    </row>
    <row r="436" spans="1:62" ht="12.75">
      <c r="A436" s="4" t="s">
        <v>167</v>
      </c>
      <c r="B436" s="4" t="s">
        <v>343</v>
      </c>
      <c r="C436" s="151" t="s">
        <v>698</v>
      </c>
      <c r="D436" s="152"/>
      <c r="E436" s="152"/>
      <c r="F436" s="4" t="s">
        <v>749</v>
      </c>
      <c r="G436" s="16">
        <v>35</v>
      </c>
      <c r="H436" s="16">
        <v>0</v>
      </c>
      <c r="I436" s="16">
        <f>G436*AO436</f>
        <v>0</v>
      </c>
      <c r="J436" s="16">
        <f>G436*AP436</f>
        <v>0</v>
      </c>
      <c r="K436" s="16">
        <f>G436*H436</f>
        <v>0</v>
      </c>
      <c r="L436" s="28" t="s">
        <v>775</v>
      </c>
      <c r="Z436" s="33">
        <f>IF(AQ436="5",BJ436,0)</f>
        <v>0</v>
      </c>
      <c r="AB436" s="33">
        <f>IF(AQ436="1",BH436,0)</f>
        <v>0</v>
      </c>
      <c r="AC436" s="33">
        <f>IF(AQ436="1",BI436,0)</f>
        <v>0</v>
      </c>
      <c r="AD436" s="33">
        <f>IF(AQ436="7",BH436,0)</f>
        <v>0</v>
      </c>
      <c r="AE436" s="33">
        <f>IF(AQ436="7",BI436,0)</f>
        <v>0</v>
      </c>
      <c r="AF436" s="33">
        <f>IF(AQ436="2",BH436,0)</f>
        <v>0</v>
      </c>
      <c r="AG436" s="33">
        <f>IF(AQ436="2",BI436,0)</f>
        <v>0</v>
      </c>
      <c r="AH436" s="33">
        <f>IF(AQ436="0",BJ436,0)</f>
        <v>0</v>
      </c>
      <c r="AI436" s="29"/>
      <c r="AJ436" s="16">
        <f>IF(AN436=0,K436,0)</f>
        <v>0</v>
      </c>
      <c r="AK436" s="16">
        <f>IF(AN436=15,K436,0)</f>
        <v>0</v>
      </c>
      <c r="AL436" s="16">
        <f>IF(AN436=21,K436,0)</f>
        <v>0</v>
      </c>
      <c r="AN436" s="33">
        <v>15</v>
      </c>
      <c r="AO436" s="33">
        <f>H436*0</f>
        <v>0</v>
      </c>
      <c r="AP436" s="33">
        <f>H436*(1-0)</f>
        <v>0</v>
      </c>
      <c r="AQ436" s="28" t="s">
        <v>8</v>
      </c>
      <c r="AV436" s="33">
        <f>AW436+AX436</f>
        <v>0</v>
      </c>
      <c r="AW436" s="33">
        <f>G436*AO436</f>
        <v>0</v>
      </c>
      <c r="AX436" s="33">
        <f>G436*AP436</f>
        <v>0</v>
      </c>
      <c r="AY436" s="34" t="s">
        <v>809</v>
      </c>
      <c r="AZ436" s="34" t="s">
        <v>818</v>
      </c>
      <c r="BA436" s="29" t="s">
        <v>820</v>
      </c>
      <c r="BC436" s="33">
        <f>AW436+AX436</f>
        <v>0</v>
      </c>
      <c r="BD436" s="33">
        <f>H436/(100-BE436)*100</f>
        <v>0</v>
      </c>
      <c r="BE436" s="33">
        <v>0</v>
      </c>
      <c r="BF436" s="33">
        <f>436</f>
        <v>436</v>
      </c>
      <c r="BH436" s="16">
        <f>G436*AO436</f>
        <v>0</v>
      </c>
      <c r="BI436" s="16">
        <f>G436*AP436</f>
        <v>0</v>
      </c>
      <c r="BJ436" s="16">
        <f>G436*H436</f>
        <v>0</v>
      </c>
    </row>
    <row r="437" spans="3:7" ht="10.5" customHeight="1">
      <c r="C437" s="153" t="s">
        <v>699</v>
      </c>
      <c r="D437" s="154"/>
      <c r="E437" s="154"/>
      <c r="G437" s="17">
        <v>35</v>
      </c>
    </row>
    <row r="438" spans="1:62" ht="12.75">
      <c r="A438" s="4" t="s">
        <v>168</v>
      </c>
      <c r="B438" s="4" t="s">
        <v>344</v>
      </c>
      <c r="C438" s="151" t="s">
        <v>700</v>
      </c>
      <c r="D438" s="152"/>
      <c r="E438" s="152"/>
      <c r="F438" s="4" t="s">
        <v>749</v>
      </c>
      <c r="G438" s="16">
        <v>90</v>
      </c>
      <c r="H438" s="16">
        <v>0</v>
      </c>
      <c r="I438" s="16">
        <f>G438*AO438</f>
        <v>0</v>
      </c>
      <c r="J438" s="16">
        <f>G438*AP438</f>
        <v>0</v>
      </c>
      <c r="K438" s="16">
        <f>G438*H438</f>
        <v>0</v>
      </c>
      <c r="L438" s="28" t="s">
        <v>775</v>
      </c>
      <c r="Z438" s="33">
        <f>IF(AQ438="5",BJ438,0)</f>
        <v>0</v>
      </c>
      <c r="AB438" s="33">
        <f>IF(AQ438="1",BH438,0)</f>
        <v>0</v>
      </c>
      <c r="AC438" s="33">
        <f>IF(AQ438="1",BI438,0)</f>
        <v>0</v>
      </c>
      <c r="AD438" s="33">
        <f>IF(AQ438="7",BH438,0)</f>
        <v>0</v>
      </c>
      <c r="AE438" s="33">
        <f>IF(AQ438="7",BI438,0)</f>
        <v>0</v>
      </c>
      <c r="AF438" s="33">
        <f>IF(AQ438="2",BH438,0)</f>
        <v>0</v>
      </c>
      <c r="AG438" s="33">
        <f>IF(AQ438="2",BI438,0)</f>
        <v>0</v>
      </c>
      <c r="AH438" s="33">
        <f>IF(AQ438="0",BJ438,0)</f>
        <v>0</v>
      </c>
      <c r="AI438" s="29"/>
      <c r="AJ438" s="16">
        <f>IF(AN438=0,K438,0)</f>
        <v>0</v>
      </c>
      <c r="AK438" s="16">
        <f>IF(AN438=15,K438,0)</f>
        <v>0</v>
      </c>
      <c r="AL438" s="16">
        <f>IF(AN438=21,K438,0)</f>
        <v>0</v>
      </c>
      <c r="AN438" s="33">
        <v>15</v>
      </c>
      <c r="AO438" s="33">
        <f>H438*0</f>
        <v>0</v>
      </c>
      <c r="AP438" s="33">
        <f>H438*(1-0)</f>
        <v>0</v>
      </c>
      <c r="AQ438" s="28" t="s">
        <v>8</v>
      </c>
      <c r="AV438" s="33">
        <f>AW438+AX438</f>
        <v>0</v>
      </c>
      <c r="AW438" s="33">
        <f>G438*AO438</f>
        <v>0</v>
      </c>
      <c r="AX438" s="33">
        <f>G438*AP438</f>
        <v>0</v>
      </c>
      <c r="AY438" s="34" t="s">
        <v>809</v>
      </c>
      <c r="AZ438" s="34" t="s">
        <v>818</v>
      </c>
      <c r="BA438" s="29" t="s">
        <v>820</v>
      </c>
      <c r="BC438" s="33">
        <f>AW438+AX438</f>
        <v>0</v>
      </c>
      <c r="BD438" s="33">
        <f>H438/(100-BE438)*100</f>
        <v>0</v>
      </c>
      <c r="BE438" s="33">
        <v>0</v>
      </c>
      <c r="BF438" s="33">
        <f>438</f>
        <v>438</v>
      </c>
      <c r="BH438" s="16">
        <f>G438*AO438</f>
        <v>0</v>
      </c>
      <c r="BI438" s="16">
        <f>G438*AP438</f>
        <v>0</v>
      </c>
      <c r="BJ438" s="16">
        <f>G438*H438</f>
        <v>0</v>
      </c>
    </row>
    <row r="439" spans="3:7" ht="10.5" customHeight="1">
      <c r="C439" s="153" t="s">
        <v>701</v>
      </c>
      <c r="D439" s="154"/>
      <c r="E439" s="154"/>
      <c r="G439" s="17">
        <v>90</v>
      </c>
    </row>
    <row r="440" spans="1:62" ht="12.75">
      <c r="A440" s="6" t="s">
        <v>169</v>
      </c>
      <c r="B440" s="6" t="s">
        <v>345</v>
      </c>
      <c r="C440" s="165" t="s">
        <v>702</v>
      </c>
      <c r="D440" s="166"/>
      <c r="E440" s="166"/>
      <c r="F440" s="6" t="s">
        <v>749</v>
      </c>
      <c r="G440" s="18">
        <v>36.75</v>
      </c>
      <c r="H440" s="18">
        <v>0</v>
      </c>
      <c r="I440" s="18">
        <f>G440*AO440</f>
        <v>0</v>
      </c>
      <c r="J440" s="18">
        <f>G440*AP440</f>
        <v>0</v>
      </c>
      <c r="K440" s="18">
        <f>G440*H440</f>
        <v>0</v>
      </c>
      <c r="L440" s="30" t="s">
        <v>775</v>
      </c>
      <c r="Z440" s="33">
        <f>IF(AQ440="5",BJ440,0)</f>
        <v>0</v>
      </c>
      <c r="AB440" s="33">
        <f>IF(AQ440="1",BH440,0)</f>
        <v>0</v>
      </c>
      <c r="AC440" s="33">
        <f>IF(AQ440="1",BI440,0)</f>
        <v>0</v>
      </c>
      <c r="AD440" s="33">
        <f>IF(AQ440="7",BH440,0)</f>
        <v>0</v>
      </c>
      <c r="AE440" s="33">
        <f>IF(AQ440="7",BI440,0)</f>
        <v>0</v>
      </c>
      <c r="AF440" s="33">
        <f>IF(AQ440="2",BH440,0)</f>
        <v>0</v>
      </c>
      <c r="AG440" s="33">
        <f>IF(AQ440="2",BI440,0)</f>
        <v>0</v>
      </c>
      <c r="AH440" s="33">
        <f>IF(AQ440="0",BJ440,0)</f>
        <v>0</v>
      </c>
      <c r="AI440" s="29"/>
      <c r="AJ440" s="18">
        <f>IF(AN440=0,K440,0)</f>
        <v>0</v>
      </c>
      <c r="AK440" s="18">
        <f>IF(AN440=15,K440,0)</f>
        <v>0</v>
      </c>
      <c r="AL440" s="18">
        <f>IF(AN440=21,K440,0)</f>
        <v>0</v>
      </c>
      <c r="AN440" s="33">
        <v>15</v>
      </c>
      <c r="AO440" s="33">
        <f>H440*1</f>
        <v>0</v>
      </c>
      <c r="AP440" s="33">
        <f>H440*(1-1)</f>
        <v>0</v>
      </c>
      <c r="AQ440" s="30" t="s">
        <v>7</v>
      </c>
      <c r="AV440" s="33">
        <f>AW440+AX440</f>
        <v>0</v>
      </c>
      <c r="AW440" s="33">
        <f>G440*AO440</f>
        <v>0</v>
      </c>
      <c r="AX440" s="33">
        <f>G440*AP440</f>
        <v>0</v>
      </c>
      <c r="AY440" s="34" t="s">
        <v>809</v>
      </c>
      <c r="AZ440" s="34" t="s">
        <v>818</v>
      </c>
      <c r="BA440" s="29" t="s">
        <v>820</v>
      </c>
      <c r="BC440" s="33">
        <f>AW440+AX440</f>
        <v>0</v>
      </c>
      <c r="BD440" s="33">
        <f>H440/(100-BE440)*100</f>
        <v>0</v>
      </c>
      <c r="BE440" s="33">
        <v>0</v>
      </c>
      <c r="BF440" s="33">
        <f>440</f>
        <v>440</v>
      </c>
      <c r="BH440" s="18">
        <f>G440*AO440</f>
        <v>0</v>
      </c>
      <c r="BI440" s="18">
        <f>G440*AP440</f>
        <v>0</v>
      </c>
      <c r="BJ440" s="18">
        <f>G440*H440</f>
        <v>0</v>
      </c>
    </row>
    <row r="441" spans="3:7" ht="10.5" customHeight="1">
      <c r="C441" s="153" t="s">
        <v>699</v>
      </c>
      <c r="D441" s="154"/>
      <c r="E441" s="154"/>
      <c r="G441" s="17">
        <v>35</v>
      </c>
    </row>
    <row r="442" spans="3:7" ht="10.5" customHeight="1">
      <c r="C442" s="153" t="s">
        <v>703</v>
      </c>
      <c r="D442" s="154"/>
      <c r="E442" s="154"/>
      <c r="G442" s="17">
        <v>1.75</v>
      </c>
    </row>
    <row r="443" spans="1:62" ht="12.75">
      <c r="A443" s="6" t="s">
        <v>170</v>
      </c>
      <c r="B443" s="6" t="s">
        <v>346</v>
      </c>
      <c r="C443" s="165" t="s">
        <v>704</v>
      </c>
      <c r="D443" s="166"/>
      <c r="E443" s="166"/>
      <c r="F443" s="6" t="s">
        <v>749</v>
      </c>
      <c r="G443" s="18">
        <v>94.5</v>
      </c>
      <c r="H443" s="18">
        <v>0</v>
      </c>
      <c r="I443" s="18">
        <f>G443*AO443</f>
        <v>0</v>
      </c>
      <c r="J443" s="18">
        <f>G443*AP443</f>
        <v>0</v>
      </c>
      <c r="K443" s="18">
        <f>G443*H443</f>
        <v>0</v>
      </c>
      <c r="L443" s="30" t="s">
        <v>775</v>
      </c>
      <c r="Z443" s="33">
        <f>IF(AQ443="5",BJ443,0)</f>
        <v>0</v>
      </c>
      <c r="AB443" s="33">
        <f>IF(AQ443="1",BH443,0)</f>
        <v>0</v>
      </c>
      <c r="AC443" s="33">
        <f>IF(AQ443="1",BI443,0)</f>
        <v>0</v>
      </c>
      <c r="AD443" s="33">
        <f>IF(AQ443="7",BH443,0)</f>
        <v>0</v>
      </c>
      <c r="AE443" s="33">
        <f>IF(AQ443="7",BI443,0)</f>
        <v>0</v>
      </c>
      <c r="AF443" s="33">
        <f>IF(AQ443="2",BH443,0)</f>
        <v>0</v>
      </c>
      <c r="AG443" s="33">
        <f>IF(AQ443="2",BI443,0)</f>
        <v>0</v>
      </c>
      <c r="AH443" s="33">
        <f>IF(AQ443="0",BJ443,0)</f>
        <v>0</v>
      </c>
      <c r="AI443" s="29"/>
      <c r="AJ443" s="18">
        <f>IF(AN443=0,K443,0)</f>
        <v>0</v>
      </c>
      <c r="AK443" s="18">
        <f>IF(AN443=15,K443,0)</f>
        <v>0</v>
      </c>
      <c r="AL443" s="18">
        <f>IF(AN443=21,K443,0)</f>
        <v>0</v>
      </c>
      <c r="AN443" s="33">
        <v>15</v>
      </c>
      <c r="AO443" s="33">
        <f>H443*1</f>
        <v>0</v>
      </c>
      <c r="AP443" s="33">
        <f>H443*(1-1)</f>
        <v>0</v>
      </c>
      <c r="AQ443" s="30" t="s">
        <v>7</v>
      </c>
      <c r="AV443" s="33">
        <f>AW443+AX443</f>
        <v>0</v>
      </c>
      <c r="AW443" s="33">
        <f>G443*AO443</f>
        <v>0</v>
      </c>
      <c r="AX443" s="33">
        <f>G443*AP443</f>
        <v>0</v>
      </c>
      <c r="AY443" s="34" t="s">
        <v>809</v>
      </c>
      <c r="AZ443" s="34" t="s">
        <v>818</v>
      </c>
      <c r="BA443" s="29" t="s">
        <v>820</v>
      </c>
      <c r="BC443" s="33">
        <f>AW443+AX443</f>
        <v>0</v>
      </c>
      <c r="BD443" s="33">
        <f>H443/(100-BE443)*100</f>
        <v>0</v>
      </c>
      <c r="BE443" s="33">
        <v>0</v>
      </c>
      <c r="BF443" s="33">
        <f>443</f>
        <v>443</v>
      </c>
      <c r="BH443" s="18">
        <f>G443*AO443</f>
        <v>0</v>
      </c>
      <c r="BI443" s="18">
        <f>G443*AP443</f>
        <v>0</v>
      </c>
      <c r="BJ443" s="18">
        <f>G443*H443</f>
        <v>0</v>
      </c>
    </row>
    <row r="444" spans="3:7" ht="10.5" customHeight="1">
      <c r="C444" s="153" t="s">
        <v>701</v>
      </c>
      <c r="D444" s="154"/>
      <c r="E444" s="154"/>
      <c r="G444" s="17">
        <v>90</v>
      </c>
    </row>
    <row r="445" spans="3:7" ht="10.5" customHeight="1">
      <c r="C445" s="153" t="s">
        <v>705</v>
      </c>
      <c r="D445" s="154"/>
      <c r="E445" s="154"/>
      <c r="G445" s="17">
        <v>4.5</v>
      </c>
    </row>
    <row r="446" spans="1:62" ht="12.75">
      <c r="A446" s="4" t="s">
        <v>171</v>
      </c>
      <c r="B446" s="4" t="s">
        <v>347</v>
      </c>
      <c r="C446" s="151" t="s">
        <v>706</v>
      </c>
      <c r="D446" s="152"/>
      <c r="E446" s="152"/>
      <c r="F446" s="4" t="s">
        <v>748</v>
      </c>
      <c r="G446" s="16">
        <v>1</v>
      </c>
      <c r="H446" s="16">
        <v>0</v>
      </c>
      <c r="I446" s="16">
        <f>G446*AO446</f>
        <v>0</v>
      </c>
      <c r="J446" s="16">
        <f>G446*AP446</f>
        <v>0</v>
      </c>
      <c r="K446" s="16">
        <f>G446*H446</f>
        <v>0</v>
      </c>
      <c r="L446" s="28" t="s">
        <v>775</v>
      </c>
      <c r="Z446" s="33">
        <f>IF(AQ446="5",BJ446,0)</f>
        <v>0</v>
      </c>
      <c r="AB446" s="33">
        <f>IF(AQ446="1",BH446,0)</f>
        <v>0</v>
      </c>
      <c r="AC446" s="33">
        <f>IF(AQ446="1",BI446,0)</f>
        <v>0</v>
      </c>
      <c r="AD446" s="33">
        <f>IF(AQ446="7",BH446,0)</f>
        <v>0</v>
      </c>
      <c r="AE446" s="33">
        <f>IF(AQ446="7",BI446,0)</f>
        <v>0</v>
      </c>
      <c r="AF446" s="33">
        <f>IF(AQ446="2",BH446,0)</f>
        <v>0</v>
      </c>
      <c r="AG446" s="33">
        <f>IF(AQ446="2",BI446,0)</f>
        <v>0</v>
      </c>
      <c r="AH446" s="33">
        <f>IF(AQ446="0",BJ446,0)</f>
        <v>0</v>
      </c>
      <c r="AI446" s="29"/>
      <c r="AJ446" s="16">
        <f>IF(AN446=0,K446,0)</f>
        <v>0</v>
      </c>
      <c r="AK446" s="16">
        <f>IF(AN446=15,K446,0)</f>
        <v>0</v>
      </c>
      <c r="AL446" s="16">
        <f>IF(AN446=21,K446,0)</f>
        <v>0</v>
      </c>
      <c r="AN446" s="33">
        <v>15</v>
      </c>
      <c r="AO446" s="33">
        <f>H446*0.790766265966322</f>
        <v>0</v>
      </c>
      <c r="AP446" s="33">
        <f>H446*(1-0.790766265966322)</f>
        <v>0</v>
      </c>
      <c r="AQ446" s="28" t="s">
        <v>7</v>
      </c>
      <c r="AV446" s="33">
        <f>AW446+AX446</f>
        <v>0</v>
      </c>
      <c r="AW446" s="33">
        <f>G446*AO446</f>
        <v>0</v>
      </c>
      <c r="AX446" s="33">
        <f>G446*AP446</f>
        <v>0</v>
      </c>
      <c r="AY446" s="34" t="s">
        <v>809</v>
      </c>
      <c r="AZ446" s="34" t="s">
        <v>818</v>
      </c>
      <c r="BA446" s="29" t="s">
        <v>820</v>
      </c>
      <c r="BC446" s="33">
        <f>AW446+AX446</f>
        <v>0</v>
      </c>
      <c r="BD446" s="33">
        <f>H446/(100-BE446)*100</f>
        <v>0</v>
      </c>
      <c r="BE446" s="33">
        <v>0</v>
      </c>
      <c r="BF446" s="33">
        <f>446</f>
        <v>446</v>
      </c>
      <c r="BH446" s="16">
        <f>G446*AO446</f>
        <v>0</v>
      </c>
      <c r="BI446" s="16">
        <f>G446*AP446</f>
        <v>0</v>
      </c>
      <c r="BJ446" s="16">
        <f>G446*H446</f>
        <v>0</v>
      </c>
    </row>
    <row r="447" spans="3:7" ht="10.5" customHeight="1">
      <c r="C447" s="153" t="s">
        <v>429</v>
      </c>
      <c r="D447" s="154"/>
      <c r="E447" s="154"/>
      <c r="G447" s="17">
        <v>1</v>
      </c>
    </row>
    <row r="448" spans="1:62" ht="12.75">
      <c r="A448" s="6" t="s">
        <v>172</v>
      </c>
      <c r="B448" s="6" t="s">
        <v>348</v>
      </c>
      <c r="C448" s="165" t="s">
        <v>707</v>
      </c>
      <c r="D448" s="166"/>
      <c r="E448" s="166"/>
      <c r="F448" s="6" t="s">
        <v>748</v>
      </c>
      <c r="G448" s="18">
        <v>1</v>
      </c>
      <c r="H448" s="18">
        <v>0</v>
      </c>
      <c r="I448" s="18">
        <f>G448*AO448</f>
        <v>0</v>
      </c>
      <c r="J448" s="18">
        <f>G448*AP448</f>
        <v>0</v>
      </c>
      <c r="K448" s="18">
        <f>G448*H448</f>
        <v>0</v>
      </c>
      <c r="L448" s="30" t="s">
        <v>775</v>
      </c>
      <c r="Z448" s="33">
        <f>IF(AQ448="5",BJ448,0)</f>
        <v>0</v>
      </c>
      <c r="AB448" s="33">
        <f>IF(AQ448="1",BH448,0)</f>
        <v>0</v>
      </c>
      <c r="AC448" s="33">
        <f>IF(AQ448="1",BI448,0)</f>
        <v>0</v>
      </c>
      <c r="AD448" s="33">
        <f>IF(AQ448="7",BH448,0)</f>
        <v>0</v>
      </c>
      <c r="AE448" s="33">
        <f>IF(AQ448="7",BI448,0)</f>
        <v>0</v>
      </c>
      <c r="AF448" s="33">
        <f>IF(AQ448="2",BH448,0)</f>
        <v>0</v>
      </c>
      <c r="AG448" s="33">
        <f>IF(AQ448="2",BI448,0)</f>
        <v>0</v>
      </c>
      <c r="AH448" s="33">
        <f>IF(AQ448="0",BJ448,0)</f>
        <v>0</v>
      </c>
      <c r="AI448" s="29"/>
      <c r="AJ448" s="18">
        <f>IF(AN448=0,K448,0)</f>
        <v>0</v>
      </c>
      <c r="AK448" s="18">
        <f>IF(AN448=15,K448,0)</f>
        <v>0</v>
      </c>
      <c r="AL448" s="18">
        <f>IF(AN448=21,K448,0)</f>
        <v>0</v>
      </c>
      <c r="AN448" s="33">
        <v>15</v>
      </c>
      <c r="AO448" s="33">
        <f>H448*1</f>
        <v>0</v>
      </c>
      <c r="AP448" s="33">
        <f>H448*(1-1)</f>
        <v>0</v>
      </c>
      <c r="AQ448" s="30" t="s">
        <v>7</v>
      </c>
      <c r="AV448" s="33">
        <f>AW448+AX448</f>
        <v>0</v>
      </c>
      <c r="AW448" s="33">
        <f>G448*AO448</f>
        <v>0</v>
      </c>
      <c r="AX448" s="33">
        <f>G448*AP448</f>
        <v>0</v>
      </c>
      <c r="AY448" s="34" t="s">
        <v>809</v>
      </c>
      <c r="AZ448" s="34" t="s">
        <v>818</v>
      </c>
      <c r="BA448" s="29" t="s">
        <v>820</v>
      </c>
      <c r="BC448" s="33">
        <f>AW448+AX448</f>
        <v>0</v>
      </c>
      <c r="BD448" s="33">
        <f>H448/(100-BE448)*100</f>
        <v>0</v>
      </c>
      <c r="BE448" s="33">
        <v>0</v>
      </c>
      <c r="BF448" s="33">
        <f>448</f>
        <v>448</v>
      </c>
      <c r="BH448" s="18">
        <f>G448*AO448</f>
        <v>0</v>
      </c>
      <c r="BI448" s="18">
        <f>G448*AP448</f>
        <v>0</v>
      </c>
      <c r="BJ448" s="18">
        <f>G448*H448</f>
        <v>0</v>
      </c>
    </row>
    <row r="449" spans="3:7" ht="10.5" customHeight="1">
      <c r="C449" s="153" t="s">
        <v>429</v>
      </c>
      <c r="D449" s="154"/>
      <c r="E449" s="154"/>
      <c r="G449" s="17">
        <v>1</v>
      </c>
    </row>
    <row r="450" spans="1:62" ht="12.75">
      <c r="A450" s="4" t="s">
        <v>173</v>
      </c>
      <c r="B450" s="4" t="s">
        <v>349</v>
      </c>
      <c r="C450" s="151" t="s">
        <v>708</v>
      </c>
      <c r="D450" s="152"/>
      <c r="E450" s="152"/>
      <c r="F450" s="4" t="s">
        <v>748</v>
      </c>
      <c r="G450" s="16">
        <v>6</v>
      </c>
      <c r="H450" s="16">
        <v>0</v>
      </c>
      <c r="I450" s="16">
        <f>G450*AO450</f>
        <v>0</v>
      </c>
      <c r="J450" s="16">
        <f>G450*AP450</f>
        <v>0</v>
      </c>
      <c r="K450" s="16">
        <f>G450*H450</f>
        <v>0</v>
      </c>
      <c r="L450" s="28" t="s">
        <v>775</v>
      </c>
      <c r="Z450" s="33">
        <f>IF(AQ450="5",BJ450,0)</f>
        <v>0</v>
      </c>
      <c r="AB450" s="33">
        <f>IF(AQ450="1",BH450,0)</f>
        <v>0</v>
      </c>
      <c r="AC450" s="33">
        <f>IF(AQ450="1",BI450,0)</f>
        <v>0</v>
      </c>
      <c r="AD450" s="33">
        <f>IF(AQ450="7",BH450,0)</f>
        <v>0</v>
      </c>
      <c r="AE450" s="33">
        <f>IF(AQ450="7",BI450,0)</f>
        <v>0</v>
      </c>
      <c r="AF450" s="33">
        <f>IF(AQ450="2",BH450,0)</f>
        <v>0</v>
      </c>
      <c r="AG450" s="33">
        <f>IF(AQ450="2",BI450,0)</f>
        <v>0</v>
      </c>
      <c r="AH450" s="33">
        <f>IF(AQ450="0",BJ450,0)</f>
        <v>0</v>
      </c>
      <c r="AI450" s="29"/>
      <c r="AJ450" s="16">
        <f>IF(AN450=0,K450,0)</f>
        <v>0</v>
      </c>
      <c r="AK450" s="16">
        <f>IF(AN450=15,K450,0)</f>
        <v>0</v>
      </c>
      <c r="AL450" s="16">
        <f>IF(AN450=21,K450,0)</f>
        <v>0</v>
      </c>
      <c r="AN450" s="33">
        <v>15</v>
      </c>
      <c r="AO450" s="33">
        <f>H450*0.790761904761905</f>
        <v>0</v>
      </c>
      <c r="AP450" s="33">
        <f>H450*(1-0.790761904761905)</f>
        <v>0</v>
      </c>
      <c r="AQ450" s="28" t="s">
        <v>7</v>
      </c>
      <c r="AV450" s="33">
        <f>AW450+AX450</f>
        <v>0</v>
      </c>
      <c r="AW450" s="33">
        <f>G450*AO450</f>
        <v>0</v>
      </c>
      <c r="AX450" s="33">
        <f>G450*AP450</f>
        <v>0</v>
      </c>
      <c r="AY450" s="34" t="s">
        <v>809</v>
      </c>
      <c r="AZ450" s="34" t="s">
        <v>818</v>
      </c>
      <c r="BA450" s="29" t="s">
        <v>820</v>
      </c>
      <c r="BC450" s="33">
        <f>AW450+AX450</f>
        <v>0</v>
      </c>
      <c r="BD450" s="33">
        <f>H450/(100-BE450)*100</f>
        <v>0</v>
      </c>
      <c r="BE450" s="33">
        <v>0</v>
      </c>
      <c r="BF450" s="33">
        <f>450</f>
        <v>450</v>
      </c>
      <c r="BH450" s="16">
        <f>G450*AO450</f>
        <v>0</v>
      </c>
      <c r="BI450" s="16">
        <f>G450*AP450</f>
        <v>0</v>
      </c>
      <c r="BJ450" s="16">
        <f>G450*H450</f>
        <v>0</v>
      </c>
    </row>
    <row r="451" spans="3:7" ht="10.5" customHeight="1">
      <c r="C451" s="153" t="s">
        <v>633</v>
      </c>
      <c r="D451" s="154"/>
      <c r="E451" s="154"/>
      <c r="G451" s="17">
        <v>6</v>
      </c>
    </row>
    <row r="452" spans="1:62" ht="12.75">
      <c r="A452" s="4" t="s">
        <v>174</v>
      </c>
      <c r="B452" s="4" t="s">
        <v>350</v>
      </c>
      <c r="C452" s="151" t="s">
        <v>709</v>
      </c>
      <c r="D452" s="152"/>
      <c r="E452" s="152"/>
      <c r="F452" s="4" t="s">
        <v>748</v>
      </c>
      <c r="G452" s="16">
        <v>6</v>
      </c>
      <c r="H452" s="16">
        <v>0</v>
      </c>
      <c r="I452" s="16">
        <f>G452*AO452</f>
        <v>0</v>
      </c>
      <c r="J452" s="16">
        <f>G452*AP452</f>
        <v>0</v>
      </c>
      <c r="K452" s="16">
        <f>G452*H452</f>
        <v>0</v>
      </c>
      <c r="L452" s="28" t="s">
        <v>775</v>
      </c>
      <c r="Z452" s="33">
        <f>IF(AQ452="5",BJ452,0)</f>
        <v>0</v>
      </c>
      <c r="AB452" s="33">
        <f>IF(AQ452="1",BH452,0)</f>
        <v>0</v>
      </c>
      <c r="AC452" s="33">
        <f>IF(AQ452="1",BI452,0)</f>
        <v>0</v>
      </c>
      <c r="AD452" s="33">
        <f>IF(AQ452="7",BH452,0)</f>
        <v>0</v>
      </c>
      <c r="AE452" s="33">
        <f>IF(AQ452="7",BI452,0)</f>
        <v>0</v>
      </c>
      <c r="AF452" s="33">
        <f>IF(AQ452="2",BH452,0)</f>
        <v>0</v>
      </c>
      <c r="AG452" s="33">
        <f>IF(AQ452="2",BI452,0)</f>
        <v>0</v>
      </c>
      <c r="AH452" s="33">
        <f>IF(AQ452="0",BJ452,0)</f>
        <v>0</v>
      </c>
      <c r="AI452" s="29"/>
      <c r="AJ452" s="16">
        <f>IF(AN452=0,K452,0)</f>
        <v>0</v>
      </c>
      <c r="AK452" s="16">
        <f>IF(AN452=15,K452,0)</f>
        <v>0</v>
      </c>
      <c r="AL452" s="16">
        <f>IF(AN452=21,K452,0)</f>
        <v>0</v>
      </c>
      <c r="AN452" s="33">
        <v>15</v>
      </c>
      <c r="AO452" s="33">
        <f>H452*0.257468083768316</f>
        <v>0</v>
      </c>
      <c r="AP452" s="33">
        <f>H452*(1-0.257468083768316)</f>
        <v>0</v>
      </c>
      <c r="AQ452" s="28" t="s">
        <v>7</v>
      </c>
      <c r="AV452" s="33">
        <f>AW452+AX452</f>
        <v>0</v>
      </c>
      <c r="AW452" s="33">
        <f>G452*AO452</f>
        <v>0</v>
      </c>
      <c r="AX452" s="33">
        <f>G452*AP452</f>
        <v>0</v>
      </c>
      <c r="AY452" s="34" t="s">
        <v>809</v>
      </c>
      <c r="AZ452" s="34" t="s">
        <v>818</v>
      </c>
      <c r="BA452" s="29" t="s">
        <v>820</v>
      </c>
      <c r="BC452" s="33">
        <f>AW452+AX452</f>
        <v>0</v>
      </c>
      <c r="BD452" s="33">
        <f>H452/(100-BE452)*100</f>
        <v>0</v>
      </c>
      <c r="BE452" s="33">
        <v>0</v>
      </c>
      <c r="BF452" s="33">
        <f>452</f>
        <v>452</v>
      </c>
      <c r="BH452" s="16">
        <f>G452*AO452</f>
        <v>0</v>
      </c>
      <c r="BI452" s="16">
        <f>G452*AP452</f>
        <v>0</v>
      </c>
      <c r="BJ452" s="16">
        <f>G452*H452</f>
        <v>0</v>
      </c>
    </row>
    <row r="453" spans="3:7" ht="10.5" customHeight="1">
      <c r="C453" s="153" t="s">
        <v>710</v>
      </c>
      <c r="D453" s="154"/>
      <c r="E453" s="154"/>
      <c r="G453" s="17">
        <v>6</v>
      </c>
    </row>
    <row r="454" spans="1:62" ht="12.75">
      <c r="A454" s="6" t="s">
        <v>175</v>
      </c>
      <c r="B454" s="6" t="s">
        <v>351</v>
      </c>
      <c r="C454" s="165" t="s">
        <v>711</v>
      </c>
      <c r="D454" s="166"/>
      <c r="E454" s="166"/>
      <c r="F454" s="6" t="s">
        <v>748</v>
      </c>
      <c r="G454" s="18">
        <v>4</v>
      </c>
      <c r="H454" s="18">
        <v>0</v>
      </c>
      <c r="I454" s="18">
        <f>G454*AO454</f>
        <v>0</v>
      </c>
      <c r="J454" s="18">
        <f>G454*AP454</f>
        <v>0</v>
      </c>
      <c r="K454" s="18">
        <f>G454*H454</f>
        <v>0</v>
      </c>
      <c r="L454" s="30" t="s">
        <v>775</v>
      </c>
      <c r="Z454" s="33">
        <f>IF(AQ454="5",BJ454,0)</f>
        <v>0</v>
      </c>
      <c r="AB454" s="33">
        <f>IF(AQ454="1",BH454,0)</f>
        <v>0</v>
      </c>
      <c r="AC454" s="33">
        <f>IF(AQ454="1",BI454,0)</f>
        <v>0</v>
      </c>
      <c r="AD454" s="33">
        <f>IF(AQ454="7",BH454,0)</f>
        <v>0</v>
      </c>
      <c r="AE454" s="33">
        <f>IF(AQ454="7",BI454,0)</f>
        <v>0</v>
      </c>
      <c r="AF454" s="33">
        <f>IF(AQ454="2",BH454,0)</f>
        <v>0</v>
      </c>
      <c r="AG454" s="33">
        <f>IF(AQ454="2",BI454,0)</f>
        <v>0</v>
      </c>
      <c r="AH454" s="33">
        <f>IF(AQ454="0",BJ454,0)</f>
        <v>0</v>
      </c>
      <c r="AI454" s="29"/>
      <c r="AJ454" s="18">
        <f>IF(AN454=0,K454,0)</f>
        <v>0</v>
      </c>
      <c r="AK454" s="18">
        <f>IF(AN454=15,K454,0)</f>
        <v>0</v>
      </c>
      <c r="AL454" s="18">
        <f>IF(AN454=21,K454,0)</f>
        <v>0</v>
      </c>
      <c r="AN454" s="33">
        <v>15</v>
      </c>
      <c r="AO454" s="33">
        <f>H454*1</f>
        <v>0</v>
      </c>
      <c r="AP454" s="33">
        <f>H454*(1-1)</f>
        <v>0</v>
      </c>
      <c r="AQ454" s="30" t="s">
        <v>7</v>
      </c>
      <c r="AV454" s="33">
        <f>AW454+AX454</f>
        <v>0</v>
      </c>
      <c r="AW454" s="33">
        <f>G454*AO454</f>
        <v>0</v>
      </c>
      <c r="AX454" s="33">
        <f>G454*AP454</f>
        <v>0</v>
      </c>
      <c r="AY454" s="34" t="s">
        <v>809</v>
      </c>
      <c r="AZ454" s="34" t="s">
        <v>818</v>
      </c>
      <c r="BA454" s="29" t="s">
        <v>820</v>
      </c>
      <c r="BC454" s="33">
        <f>AW454+AX454</f>
        <v>0</v>
      </c>
      <c r="BD454" s="33">
        <f>H454/(100-BE454)*100</f>
        <v>0</v>
      </c>
      <c r="BE454" s="33">
        <v>0</v>
      </c>
      <c r="BF454" s="33">
        <f>454</f>
        <v>454</v>
      </c>
      <c r="BH454" s="18">
        <f>G454*AO454</f>
        <v>0</v>
      </c>
      <c r="BI454" s="18">
        <f>G454*AP454</f>
        <v>0</v>
      </c>
      <c r="BJ454" s="18">
        <f>G454*H454</f>
        <v>0</v>
      </c>
    </row>
    <row r="455" spans="3:7" ht="10.5" customHeight="1">
      <c r="C455" s="153" t="s">
        <v>464</v>
      </c>
      <c r="D455" s="154"/>
      <c r="E455" s="154"/>
      <c r="G455" s="17">
        <v>4</v>
      </c>
    </row>
    <row r="456" spans="1:62" ht="12.75">
      <c r="A456" s="6" t="s">
        <v>176</v>
      </c>
      <c r="B456" s="6" t="s">
        <v>352</v>
      </c>
      <c r="C456" s="165" t="s">
        <v>712</v>
      </c>
      <c r="D456" s="166"/>
      <c r="E456" s="166"/>
      <c r="F456" s="6" t="s">
        <v>748</v>
      </c>
      <c r="G456" s="18">
        <v>2</v>
      </c>
      <c r="H456" s="18">
        <v>0</v>
      </c>
      <c r="I456" s="18">
        <f>G456*AO456</f>
        <v>0</v>
      </c>
      <c r="J456" s="18">
        <f>G456*AP456</f>
        <v>0</v>
      </c>
      <c r="K456" s="18">
        <f>G456*H456</f>
        <v>0</v>
      </c>
      <c r="L456" s="30" t="s">
        <v>775</v>
      </c>
      <c r="Z456" s="33">
        <f>IF(AQ456="5",BJ456,0)</f>
        <v>0</v>
      </c>
      <c r="AB456" s="33">
        <f>IF(AQ456="1",BH456,0)</f>
        <v>0</v>
      </c>
      <c r="AC456" s="33">
        <f>IF(AQ456="1",BI456,0)</f>
        <v>0</v>
      </c>
      <c r="AD456" s="33">
        <f>IF(AQ456="7",BH456,0)</f>
        <v>0</v>
      </c>
      <c r="AE456" s="33">
        <f>IF(AQ456="7",BI456,0)</f>
        <v>0</v>
      </c>
      <c r="AF456" s="33">
        <f>IF(AQ456="2",BH456,0)</f>
        <v>0</v>
      </c>
      <c r="AG456" s="33">
        <f>IF(AQ456="2",BI456,0)</f>
        <v>0</v>
      </c>
      <c r="AH456" s="33">
        <f>IF(AQ456="0",BJ456,0)</f>
        <v>0</v>
      </c>
      <c r="AI456" s="29"/>
      <c r="AJ456" s="18">
        <f>IF(AN456=0,K456,0)</f>
        <v>0</v>
      </c>
      <c r="AK456" s="18">
        <f>IF(AN456=15,K456,0)</f>
        <v>0</v>
      </c>
      <c r="AL456" s="18">
        <f>IF(AN456=21,K456,0)</f>
        <v>0</v>
      </c>
      <c r="AN456" s="33">
        <v>15</v>
      </c>
      <c r="AO456" s="33">
        <f>H456*1</f>
        <v>0</v>
      </c>
      <c r="AP456" s="33">
        <f>H456*(1-1)</f>
        <v>0</v>
      </c>
      <c r="AQ456" s="30" t="s">
        <v>7</v>
      </c>
      <c r="AV456" s="33">
        <f>AW456+AX456</f>
        <v>0</v>
      </c>
      <c r="AW456" s="33">
        <f>G456*AO456</f>
        <v>0</v>
      </c>
      <c r="AX456" s="33">
        <f>G456*AP456</f>
        <v>0</v>
      </c>
      <c r="AY456" s="34" t="s">
        <v>809</v>
      </c>
      <c r="AZ456" s="34" t="s">
        <v>818</v>
      </c>
      <c r="BA456" s="29" t="s">
        <v>820</v>
      </c>
      <c r="BC456" s="33">
        <f>AW456+AX456</f>
        <v>0</v>
      </c>
      <c r="BD456" s="33">
        <f>H456/(100-BE456)*100</f>
        <v>0</v>
      </c>
      <c r="BE456" s="33">
        <v>0</v>
      </c>
      <c r="BF456" s="33">
        <f>456</f>
        <v>456</v>
      </c>
      <c r="BH456" s="18">
        <f>G456*AO456</f>
        <v>0</v>
      </c>
      <c r="BI456" s="18">
        <f>G456*AP456</f>
        <v>0</v>
      </c>
      <c r="BJ456" s="18">
        <f>G456*H456</f>
        <v>0</v>
      </c>
    </row>
    <row r="457" spans="3:7" ht="10.5" customHeight="1">
      <c r="C457" s="153" t="s">
        <v>382</v>
      </c>
      <c r="D457" s="154"/>
      <c r="E457" s="154"/>
      <c r="G457" s="17">
        <v>2</v>
      </c>
    </row>
    <row r="458" spans="1:62" ht="12.75">
      <c r="A458" s="4" t="s">
        <v>177</v>
      </c>
      <c r="B458" s="4" t="s">
        <v>353</v>
      </c>
      <c r="C458" s="151" t="s">
        <v>713</v>
      </c>
      <c r="D458" s="152"/>
      <c r="E458" s="152"/>
      <c r="F458" s="4" t="s">
        <v>756</v>
      </c>
      <c r="G458" s="16">
        <v>1</v>
      </c>
      <c r="H458" s="16">
        <v>0</v>
      </c>
      <c r="I458" s="16">
        <f>G458*AO458</f>
        <v>0</v>
      </c>
      <c r="J458" s="16">
        <f>G458*AP458</f>
        <v>0</v>
      </c>
      <c r="K458" s="16">
        <f>G458*H458</f>
        <v>0</v>
      </c>
      <c r="L458" s="28" t="s">
        <v>775</v>
      </c>
      <c r="Z458" s="33">
        <f>IF(AQ458="5",BJ458,0)</f>
        <v>0</v>
      </c>
      <c r="AB458" s="33">
        <f>IF(AQ458="1",BH458,0)</f>
        <v>0</v>
      </c>
      <c r="AC458" s="33">
        <f>IF(AQ458="1",BI458,0)</f>
        <v>0</v>
      </c>
      <c r="AD458" s="33">
        <f>IF(AQ458="7",BH458,0)</f>
        <v>0</v>
      </c>
      <c r="AE458" s="33">
        <f>IF(AQ458="7",BI458,0)</f>
        <v>0</v>
      </c>
      <c r="AF458" s="33">
        <f>IF(AQ458="2",BH458,0)</f>
        <v>0</v>
      </c>
      <c r="AG458" s="33">
        <f>IF(AQ458="2",BI458,0)</f>
        <v>0</v>
      </c>
      <c r="AH458" s="33">
        <f>IF(AQ458="0",BJ458,0)</f>
        <v>0</v>
      </c>
      <c r="AI458" s="29"/>
      <c r="AJ458" s="16">
        <f>IF(AN458=0,K458,0)</f>
        <v>0</v>
      </c>
      <c r="AK458" s="16">
        <f>IF(AN458=15,K458,0)</f>
        <v>0</v>
      </c>
      <c r="AL458" s="16">
        <f>IF(AN458=21,K458,0)</f>
        <v>0</v>
      </c>
      <c r="AN458" s="33">
        <v>15</v>
      </c>
      <c r="AO458" s="33">
        <f>H458*0</f>
        <v>0</v>
      </c>
      <c r="AP458" s="33">
        <f>H458*(1-0)</f>
        <v>0</v>
      </c>
      <c r="AQ458" s="28" t="s">
        <v>8</v>
      </c>
      <c r="AV458" s="33">
        <f>AW458+AX458</f>
        <v>0</v>
      </c>
      <c r="AW458" s="33">
        <f>G458*AO458</f>
        <v>0</v>
      </c>
      <c r="AX458" s="33">
        <f>G458*AP458</f>
        <v>0</v>
      </c>
      <c r="AY458" s="34" t="s">
        <v>809</v>
      </c>
      <c r="AZ458" s="34" t="s">
        <v>818</v>
      </c>
      <c r="BA458" s="29" t="s">
        <v>820</v>
      </c>
      <c r="BC458" s="33">
        <f>AW458+AX458</f>
        <v>0</v>
      </c>
      <c r="BD458" s="33">
        <f>H458/(100-BE458)*100</f>
        <v>0</v>
      </c>
      <c r="BE458" s="33">
        <v>0</v>
      </c>
      <c r="BF458" s="33">
        <f>458</f>
        <v>458</v>
      </c>
      <c r="BH458" s="16">
        <f>G458*AO458</f>
        <v>0</v>
      </c>
      <c r="BI458" s="16">
        <f>G458*AP458</f>
        <v>0</v>
      </c>
      <c r="BJ458" s="16">
        <f>G458*H458</f>
        <v>0</v>
      </c>
    </row>
    <row r="459" spans="3:7" ht="10.5" customHeight="1">
      <c r="C459" s="153" t="s">
        <v>429</v>
      </c>
      <c r="D459" s="154"/>
      <c r="E459" s="154"/>
      <c r="G459" s="17">
        <v>1</v>
      </c>
    </row>
    <row r="460" spans="1:62" ht="12.75">
      <c r="A460" s="4" t="s">
        <v>178</v>
      </c>
      <c r="B460" s="4" t="s">
        <v>354</v>
      </c>
      <c r="C460" s="151" t="s">
        <v>714</v>
      </c>
      <c r="D460" s="152"/>
      <c r="E460" s="152"/>
      <c r="F460" s="4" t="s">
        <v>749</v>
      </c>
      <c r="G460" s="16">
        <v>35</v>
      </c>
      <c r="H460" s="16">
        <v>0</v>
      </c>
      <c r="I460" s="16">
        <f>G460*AO460</f>
        <v>0</v>
      </c>
      <c r="J460" s="16">
        <f>G460*AP460</f>
        <v>0</v>
      </c>
      <c r="K460" s="16">
        <f>G460*H460</f>
        <v>0</v>
      </c>
      <c r="L460" s="28" t="s">
        <v>775</v>
      </c>
      <c r="Z460" s="33">
        <f>IF(AQ460="5",BJ460,0)</f>
        <v>0</v>
      </c>
      <c r="AB460" s="33">
        <f>IF(AQ460="1",BH460,0)</f>
        <v>0</v>
      </c>
      <c r="AC460" s="33">
        <f>IF(AQ460="1",BI460,0)</f>
        <v>0</v>
      </c>
      <c r="AD460" s="33">
        <f>IF(AQ460="7",BH460,0)</f>
        <v>0</v>
      </c>
      <c r="AE460" s="33">
        <f>IF(AQ460="7",BI460,0)</f>
        <v>0</v>
      </c>
      <c r="AF460" s="33">
        <f>IF(AQ460="2",BH460,0)</f>
        <v>0</v>
      </c>
      <c r="AG460" s="33">
        <f>IF(AQ460="2",BI460,0)</f>
        <v>0</v>
      </c>
      <c r="AH460" s="33">
        <f>IF(AQ460="0",BJ460,0)</f>
        <v>0</v>
      </c>
      <c r="AI460" s="29"/>
      <c r="AJ460" s="16">
        <f>IF(AN460=0,K460,0)</f>
        <v>0</v>
      </c>
      <c r="AK460" s="16">
        <f>IF(AN460=15,K460,0)</f>
        <v>0</v>
      </c>
      <c r="AL460" s="16">
        <f>IF(AN460=21,K460,0)</f>
        <v>0</v>
      </c>
      <c r="AN460" s="33">
        <v>15</v>
      </c>
      <c r="AO460" s="33">
        <f>H460*0</f>
        <v>0</v>
      </c>
      <c r="AP460" s="33">
        <f>H460*(1-0)</f>
        <v>0</v>
      </c>
      <c r="AQ460" s="28" t="s">
        <v>8</v>
      </c>
      <c r="AV460" s="33">
        <f>AW460+AX460</f>
        <v>0</v>
      </c>
      <c r="AW460" s="33">
        <f>G460*AO460</f>
        <v>0</v>
      </c>
      <c r="AX460" s="33">
        <f>G460*AP460</f>
        <v>0</v>
      </c>
      <c r="AY460" s="34" t="s">
        <v>809</v>
      </c>
      <c r="AZ460" s="34" t="s">
        <v>818</v>
      </c>
      <c r="BA460" s="29" t="s">
        <v>820</v>
      </c>
      <c r="BC460" s="33">
        <f>AW460+AX460</f>
        <v>0</v>
      </c>
      <c r="BD460" s="33">
        <f>H460/(100-BE460)*100</f>
        <v>0</v>
      </c>
      <c r="BE460" s="33">
        <v>0</v>
      </c>
      <c r="BF460" s="33">
        <f>460</f>
        <v>460</v>
      </c>
      <c r="BH460" s="16">
        <f>G460*AO460</f>
        <v>0</v>
      </c>
      <c r="BI460" s="16">
        <f>G460*AP460</f>
        <v>0</v>
      </c>
      <c r="BJ460" s="16">
        <f>G460*H460</f>
        <v>0</v>
      </c>
    </row>
    <row r="461" spans="3:7" ht="10.5" customHeight="1">
      <c r="C461" s="153" t="s">
        <v>699</v>
      </c>
      <c r="D461" s="154"/>
      <c r="E461" s="154"/>
      <c r="G461" s="17">
        <v>35</v>
      </c>
    </row>
    <row r="462" spans="1:62" ht="12.75">
      <c r="A462" s="4" t="s">
        <v>179</v>
      </c>
      <c r="B462" s="4" t="s">
        <v>355</v>
      </c>
      <c r="C462" s="151" t="s">
        <v>715</v>
      </c>
      <c r="D462" s="152"/>
      <c r="E462" s="152"/>
      <c r="F462" s="4" t="s">
        <v>749</v>
      </c>
      <c r="G462" s="16">
        <v>40</v>
      </c>
      <c r="H462" s="16">
        <v>0</v>
      </c>
      <c r="I462" s="16">
        <f>G462*AO462</f>
        <v>0</v>
      </c>
      <c r="J462" s="16">
        <f>G462*AP462</f>
        <v>0</v>
      </c>
      <c r="K462" s="16">
        <f>G462*H462</f>
        <v>0</v>
      </c>
      <c r="L462" s="28" t="s">
        <v>775</v>
      </c>
      <c r="Z462" s="33">
        <f>IF(AQ462="5",BJ462,0)</f>
        <v>0</v>
      </c>
      <c r="AB462" s="33">
        <f>IF(AQ462="1",BH462,0)</f>
        <v>0</v>
      </c>
      <c r="AC462" s="33">
        <f>IF(AQ462="1",BI462,0)</f>
        <v>0</v>
      </c>
      <c r="AD462" s="33">
        <f>IF(AQ462="7",BH462,0)</f>
        <v>0</v>
      </c>
      <c r="AE462" s="33">
        <f>IF(AQ462="7",BI462,0)</f>
        <v>0</v>
      </c>
      <c r="AF462" s="33">
        <f>IF(AQ462="2",BH462,0)</f>
        <v>0</v>
      </c>
      <c r="AG462" s="33">
        <f>IF(AQ462="2",BI462,0)</f>
        <v>0</v>
      </c>
      <c r="AH462" s="33">
        <f>IF(AQ462="0",BJ462,0)</f>
        <v>0</v>
      </c>
      <c r="AI462" s="29"/>
      <c r="AJ462" s="16">
        <f>IF(AN462=0,K462,0)</f>
        <v>0</v>
      </c>
      <c r="AK462" s="16">
        <f>IF(AN462=15,K462,0)</f>
        <v>0</v>
      </c>
      <c r="AL462" s="16">
        <f>IF(AN462=21,K462,0)</f>
        <v>0</v>
      </c>
      <c r="AN462" s="33">
        <v>15</v>
      </c>
      <c r="AO462" s="33">
        <f>H462*0</f>
        <v>0</v>
      </c>
      <c r="AP462" s="33">
        <f>H462*(1-0)</f>
        <v>0</v>
      </c>
      <c r="AQ462" s="28" t="s">
        <v>8</v>
      </c>
      <c r="AV462" s="33">
        <f>AW462+AX462</f>
        <v>0</v>
      </c>
      <c r="AW462" s="33">
        <f>G462*AO462</f>
        <v>0</v>
      </c>
      <c r="AX462" s="33">
        <f>G462*AP462</f>
        <v>0</v>
      </c>
      <c r="AY462" s="34" t="s">
        <v>809</v>
      </c>
      <c r="AZ462" s="34" t="s">
        <v>818</v>
      </c>
      <c r="BA462" s="29" t="s">
        <v>820</v>
      </c>
      <c r="BC462" s="33">
        <f>AW462+AX462</f>
        <v>0</v>
      </c>
      <c r="BD462" s="33">
        <f>H462/(100-BE462)*100</f>
        <v>0</v>
      </c>
      <c r="BE462" s="33">
        <v>0</v>
      </c>
      <c r="BF462" s="33">
        <f>462</f>
        <v>462</v>
      </c>
      <c r="BH462" s="16">
        <f>G462*AO462</f>
        <v>0</v>
      </c>
      <c r="BI462" s="16">
        <f>G462*AP462</f>
        <v>0</v>
      </c>
      <c r="BJ462" s="16">
        <f>G462*H462</f>
        <v>0</v>
      </c>
    </row>
    <row r="463" spans="3:7" ht="10.5" customHeight="1">
      <c r="C463" s="153" t="s">
        <v>716</v>
      </c>
      <c r="D463" s="154"/>
      <c r="E463" s="154"/>
      <c r="G463" s="17">
        <v>40</v>
      </c>
    </row>
    <row r="464" spans="1:62" ht="12.75">
      <c r="A464" s="4" t="s">
        <v>180</v>
      </c>
      <c r="B464" s="4" t="s">
        <v>356</v>
      </c>
      <c r="C464" s="151" t="s">
        <v>717</v>
      </c>
      <c r="D464" s="152"/>
      <c r="E464" s="152"/>
      <c r="F464" s="4" t="s">
        <v>749</v>
      </c>
      <c r="G464" s="16">
        <v>5</v>
      </c>
      <c r="H464" s="16">
        <v>0</v>
      </c>
      <c r="I464" s="16">
        <f>G464*AO464</f>
        <v>0</v>
      </c>
      <c r="J464" s="16">
        <f>G464*AP464</f>
        <v>0</v>
      </c>
      <c r="K464" s="16">
        <f>G464*H464</f>
        <v>0</v>
      </c>
      <c r="L464" s="28" t="s">
        <v>775</v>
      </c>
      <c r="Z464" s="33">
        <f>IF(AQ464="5",BJ464,0)</f>
        <v>0</v>
      </c>
      <c r="AB464" s="33">
        <f>IF(AQ464="1",BH464,0)</f>
        <v>0</v>
      </c>
      <c r="AC464" s="33">
        <f>IF(AQ464="1",BI464,0)</f>
        <v>0</v>
      </c>
      <c r="AD464" s="33">
        <f>IF(AQ464="7",BH464,0)</f>
        <v>0</v>
      </c>
      <c r="AE464" s="33">
        <f>IF(AQ464="7",BI464,0)</f>
        <v>0</v>
      </c>
      <c r="AF464" s="33">
        <f>IF(AQ464="2",BH464,0)</f>
        <v>0</v>
      </c>
      <c r="AG464" s="33">
        <f>IF(AQ464="2",BI464,0)</f>
        <v>0</v>
      </c>
      <c r="AH464" s="33">
        <f>IF(AQ464="0",BJ464,0)</f>
        <v>0</v>
      </c>
      <c r="AI464" s="29"/>
      <c r="AJ464" s="16">
        <f>IF(AN464=0,K464,0)</f>
        <v>0</v>
      </c>
      <c r="AK464" s="16">
        <f>IF(AN464=15,K464,0)</f>
        <v>0</v>
      </c>
      <c r="AL464" s="16">
        <f>IF(AN464=21,K464,0)</f>
        <v>0</v>
      </c>
      <c r="AN464" s="33">
        <v>15</v>
      </c>
      <c r="AO464" s="33">
        <f>H464*0.178894154818325</f>
        <v>0</v>
      </c>
      <c r="AP464" s="33">
        <f>H464*(1-0.178894154818325)</f>
        <v>0</v>
      </c>
      <c r="AQ464" s="28" t="s">
        <v>8</v>
      </c>
      <c r="AV464" s="33">
        <f>AW464+AX464</f>
        <v>0</v>
      </c>
      <c r="AW464" s="33">
        <f>G464*AO464</f>
        <v>0</v>
      </c>
      <c r="AX464" s="33">
        <f>G464*AP464</f>
        <v>0</v>
      </c>
      <c r="AY464" s="34" t="s">
        <v>809</v>
      </c>
      <c r="AZ464" s="34" t="s">
        <v>818</v>
      </c>
      <c r="BA464" s="29" t="s">
        <v>820</v>
      </c>
      <c r="BC464" s="33">
        <f>AW464+AX464</f>
        <v>0</v>
      </c>
      <c r="BD464" s="33">
        <f>H464/(100-BE464)*100</f>
        <v>0</v>
      </c>
      <c r="BE464" s="33">
        <v>0</v>
      </c>
      <c r="BF464" s="33">
        <f>464</f>
        <v>464</v>
      </c>
      <c r="BH464" s="16">
        <f>G464*AO464</f>
        <v>0</v>
      </c>
      <c r="BI464" s="16">
        <f>G464*AP464</f>
        <v>0</v>
      </c>
      <c r="BJ464" s="16">
        <f>G464*H464</f>
        <v>0</v>
      </c>
    </row>
    <row r="465" spans="3:7" ht="10.5" customHeight="1">
      <c r="C465" s="153" t="s">
        <v>458</v>
      </c>
      <c r="D465" s="154"/>
      <c r="E465" s="154"/>
      <c r="G465" s="17">
        <v>5</v>
      </c>
    </row>
    <row r="466" spans="1:62" ht="12.75">
      <c r="A466" s="4" t="s">
        <v>181</v>
      </c>
      <c r="B466" s="4" t="s">
        <v>357</v>
      </c>
      <c r="C466" s="151" t="s">
        <v>718</v>
      </c>
      <c r="D466" s="152"/>
      <c r="E466" s="152"/>
      <c r="F466" s="4" t="s">
        <v>749</v>
      </c>
      <c r="G466" s="16">
        <v>5</v>
      </c>
      <c r="H466" s="16">
        <v>0</v>
      </c>
      <c r="I466" s="16">
        <f>G466*AO466</f>
        <v>0</v>
      </c>
      <c r="J466" s="16">
        <f>G466*AP466</f>
        <v>0</v>
      </c>
      <c r="K466" s="16">
        <f>G466*H466</f>
        <v>0</v>
      </c>
      <c r="L466" s="28" t="s">
        <v>775</v>
      </c>
      <c r="Z466" s="33">
        <f>IF(AQ466="5",BJ466,0)</f>
        <v>0</v>
      </c>
      <c r="AB466" s="33">
        <f>IF(AQ466="1",BH466,0)</f>
        <v>0</v>
      </c>
      <c r="AC466" s="33">
        <f>IF(AQ466="1",BI466,0)</f>
        <v>0</v>
      </c>
      <c r="AD466" s="33">
        <f>IF(AQ466="7",BH466,0)</f>
        <v>0</v>
      </c>
      <c r="AE466" s="33">
        <f>IF(AQ466="7",BI466,0)</f>
        <v>0</v>
      </c>
      <c r="AF466" s="33">
        <f>IF(AQ466="2",BH466,0)</f>
        <v>0</v>
      </c>
      <c r="AG466" s="33">
        <f>IF(AQ466="2",BI466,0)</f>
        <v>0</v>
      </c>
      <c r="AH466" s="33">
        <f>IF(AQ466="0",BJ466,0)</f>
        <v>0</v>
      </c>
      <c r="AI466" s="29"/>
      <c r="AJ466" s="16">
        <f>IF(AN466=0,K466,0)</f>
        <v>0</v>
      </c>
      <c r="AK466" s="16">
        <f>IF(AN466=15,K466,0)</f>
        <v>0</v>
      </c>
      <c r="AL466" s="16">
        <f>IF(AN466=21,K466,0)</f>
        <v>0</v>
      </c>
      <c r="AN466" s="33">
        <v>15</v>
      </c>
      <c r="AO466" s="33">
        <f>H466*0.178908246225319</f>
        <v>0</v>
      </c>
      <c r="AP466" s="33">
        <f>H466*(1-0.178908246225319)</f>
        <v>0</v>
      </c>
      <c r="AQ466" s="28" t="s">
        <v>8</v>
      </c>
      <c r="AV466" s="33">
        <f>AW466+AX466</f>
        <v>0</v>
      </c>
      <c r="AW466" s="33">
        <f>G466*AO466</f>
        <v>0</v>
      </c>
      <c r="AX466" s="33">
        <f>G466*AP466</f>
        <v>0</v>
      </c>
      <c r="AY466" s="34" t="s">
        <v>809</v>
      </c>
      <c r="AZ466" s="34" t="s">
        <v>818</v>
      </c>
      <c r="BA466" s="29" t="s">
        <v>820</v>
      </c>
      <c r="BC466" s="33">
        <f>AW466+AX466</f>
        <v>0</v>
      </c>
      <c r="BD466" s="33">
        <f>H466/(100-BE466)*100</f>
        <v>0</v>
      </c>
      <c r="BE466" s="33">
        <v>0</v>
      </c>
      <c r="BF466" s="33">
        <f>466</f>
        <v>466</v>
      </c>
      <c r="BH466" s="16">
        <f>G466*AO466</f>
        <v>0</v>
      </c>
      <c r="BI466" s="16">
        <f>G466*AP466</f>
        <v>0</v>
      </c>
      <c r="BJ466" s="16">
        <f>G466*H466</f>
        <v>0</v>
      </c>
    </row>
    <row r="467" spans="3:7" ht="10.5" customHeight="1">
      <c r="C467" s="153" t="s">
        <v>458</v>
      </c>
      <c r="D467" s="154"/>
      <c r="E467" s="154"/>
      <c r="G467" s="17">
        <v>5</v>
      </c>
    </row>
    <row r="468" spans="1:62" ht="12.75">
      <c r="A468" s="4" t="s">
        <v>182</v>
      </c>
      <c r="B468" s="4" t="s">
        <v>358</v>
      </c>
      <c r="C468" s="151" t="s">
        <v>719</v>
      </c>
      <c r="D468" s="152"/>
      <c r="E468" s="152"/>
      <c r="F468" s="4" t="s">
        <v>749</v>
      </c>
      <c r="G468" s="16">
        <v>5</v>
      </c>
      <c r="H468" s="16">
        <v>0</v>
      </c>
      <c r="I468" s="16">
        <f>G468*AO468</f>
        <v>0</v>
      </c>
      <c r="J468" s="16">
        <f>G468*AP468</f>
        <v>0</v>
      </c>
      <c r="K468" s="16">
        <f>G468*H468</f>
        <v>0</v>
      </c>
      <c r="L468" s="28" t="s">
        <v>775</v>
      </c>
      <c r="Z468" s="33">
        <f>IF(AQ468="5",BJ468,0)</f>
        <v>0</v>
      </c>
      <c r="AB468" s="33">
        <f>IF(AQ468="1",BH468,0)</f>
        <v>0</v>
      </c>
      <c r="AC468" s="33">
        <f>IF(AQ468="1",BI468,0)</f>
        <v>0</v>
      </c>
      <c r="AD468" s="33">
        <f>IF(AQ468="7",BH468,0)</f>
        <v>0</v>
      </c>
      <c r="AE468" s="33">
        <f>IF(AQ468="7",BI468,0)</f>
        <v>0</v>
      </c>
      <c r="AF468" s="33">
        <f>IF(AQ468="2",BH468,0)</f>
        <v>0</v>
      </c>
      <c r="AG468" s="33">
        <f>IF(AQ468="2",BI468,0)</f>
        <v>0</v>
      </c>
      <c r="AH468" s="33">
        <f>IF(AQ468="0",BJ468,0)</f>
        <v>0</v>
      </c>
      <c r="AI468" s="29"/>
      <c r="AJ468" s="16">
        <f>IF(AN468=0,K468,0)</f>
        <v>0</v>
      </c>
      <c r="AK468" s="16">
        <f>IF(AN468=15,K468,0)</f>
        <v>0</v>
      </c>
      <c r="AL468" s="16">
        <f>IF(AN468=21,K468,0)</f>
        <v>0</v>
      </c>
      <c r="AN468" s="33">
        <v>15</v>
      </c>
      <c r="AO468" s="33">
        <f>H468*0</f>
        <v>0</v>
      </c>
      <c r="AP468" s="33">
        <f>H468*(1-0)</f>
        <v>0</v>
      </c>
      <c r="AQ468" s="28" t="s">
        <v>8</v>
      </c>
      <c r="AV468" s="33">
        <f>AW468+AX468</f>
        <v>0</v>
      </c>
      <c r="AW468" s="33">
        <f>G468*AO468</f>
        <v>0</v>
      </c>
      <c r="AX468" s="33">
        <f>G468*AP468</f>
        <v>0</v>
      </c>
      <c r="AY468" s="34" t="s">
        <v>809</v>
      </c>
      <c r="AZ468" s="34" t="s">
        <v>818</v>
      </c>
      <c r="BA468" s="29" t="s">
        <v>820</v>
      </c>
      <c r="BC468" s="33">
        <f>AW468+AX468</f>
        <v>0</v>
      </c>
      <c r="BD468" s="33">
        <f>H468/(100-BE468)*100</f>
        <v>0</v>
      </c>
      <c r="BE468" s="33">
        <v>0</v>
      </c>
      <c r="BF468" s="33">
        <f>468</f>
        <v>468</v>
      </c>
      <c r="BH468" s="16">
        <f>G468*AO468</f>
        <v>0</v>
      </c>
      <c r="BI468" s="16">
        <f>G468*AP468</f>
        <v>0</v>
      </c>
      <c r="BJ468" s="16">
        <f>G468*H468</f>
        <v>0</v>
      </c>
    </row>
    <row r="469" spans="3:7" ht="10.5" customHeight="1">
      <c r="C469" s="153" t="s">
        <v>458</v>
      </c>
      <c r="D469" s="154"/>
      <c r="E469" s="154"/>
      <c r="G469" s="17">
        <v>5</v>
      </c>
    </row>
    <row r="470" spans="1:62" ht="12.75">
      <c r="A470" s="4" t="s">
        <v>183</v>
      </c>
      <c r="B470" s="4" t="s">
        <v>359</v>
      </c>
      <c r="C470" s="151" t="s">
        <v>720</v>
      </c>
      <c r="D470" s="152"/>
      <c r="E470" s="152"/>
      <c r="F470" s="4" t="s">
        <v>749</v>
      </c>
      <c r="G470" s="16">
        <v>5</v>
      </c>
      <c r="H470" s="16">
        <v>0</v>
      </c>
      <c r="I470" s="16">
        <f>G470*AO470</f>
        <v>0</v>
      </c>
      <c r="J470" s="16">
        <f>G470*AP470</f>
        <v>0</v>
      </c>
      <c r="K470" s="16">
        <f>G470*H470</f>
        <v>0</v>
      </c>
      <c r="L470" s="28" t="s">
        <v>775</v>
      </c>
      <c r="Z470" s="33">
        <f>IF(AQ470="5",BJ470,0)</f>
        <v>0</v>
      </c>
      <c r="AB470" s="33">
        <f>IF(AQ470="1",BH470,0)</f>
        <v>0</v>
      </c>
      <c r="AC470" s="33">
        <f>IF(AQ470="1",BI470,0)</f>
        <v>0</v>
      </c>
      <c r="AD470" s="33">
        <f>IF(AQ470="7",BH470,0)</f>
        <v>0</v>
      </c>
      <c r="AE470" s="33">
        <f>IF(AQ470="7",BI470,0)</f>
        <v>0</v>
      </c>
      <c r="AF470" s="33">
        <f>IF(AQ470="2",BH470,0)</f>
        <v>0</v>
      </c>
      <c r="AG470" s="33">
        <f>IF(AQ470="2",BI470,0)</f>
        <v>0</v>
      </c>
      <c r="AH470" s="33">
        <f>IF(AQ470="0",BJ470,0)</f>
        <v>0</v>
      </c>
      <c r="AI470" s="29"/>
      <c r="AJ470" s="16">
        <f>IF(AN470=0,K470,0)</f>
        <v>0</v>
      </c>
      <c r="AK470" s="16">
        <f>IF(AN470=15,K470,0)</f>
        <v>0</v>
      </c>
      <c r="AL470" s="16">
        <f>IF(AN470=21,K470,0)</f>
        <v>0</v>
      </c>
      <c r="AN470" s="33">
        <v>15</v>
      </c>
      <c r="AO470" s="33">
        <f>H470*0</f>
        <v>0</v>
      </c>
      <c r="AP470" s="33">
        <f>H470*(1-0)</f>
        <v>0</v>
      </c>
      <c r="AQ470" s="28" t="s">
        <v>8</v>
      </c>
      <c r="AV470" s="33">
        <f>AW470+AX470</f>
        <v>0</v>
      </c>
      <c r="AW470" s="33">
        <f>G470*AO470</f>
        <v>0</v>
      </c>
      <c r="AX470" s="33">
        <f>G470*AP470</f>
        <v>0</v>
      </c>
      <c r="AY470" s="34" t="s">
        <v>809</v>
      </c>
      <c r="AZ470" s="34" t="s">
        <v>818</v>
      </c>
      <c r="BA470" s="29" t="s">
        <v>820</v>
      </c>
      <c r="BC470" s="33">
        <f>AW470+AX470</f>
        <v>0</v>
      </c>
      <c r="BD470" s="33">
        <f>H470/(100-BE470)*100</f>
        <v>0</v>
      </c>
      <c r="BE470" s="33">
        <v>0</v>
      </c>
      <c r="BF470" s="33">
        <f>470</f>
        <v>470</v>
      </c>
      <c r="BH470" s="16">
        <f>G470*AO470</f>
        <v>0</v>
      </c>
      <c r="BI470" s="16">
        <f>G470*AP470</f>
        <v>0</v>
      </c>
      <c r="BJ470" s="16">
        <f>G470*H470</f>
        <v>0</v>
      </c>
    </row>
    <row r="471" spans="3:7" ht="10.5" customHeight="1">
      <c r="C471" s="153" t="s">
        <v>458</v>
      </c>
      <c r="D471" s="154"/>
      <c r="E471" s="154"/>
      <c r="G471" s="17">
        <v>5</v>
      </c>
    </row>
    <row r="472" spans="1:62" ht="12.75">
      <c r="A472" s="4" t="s">
        <v>184</v>
      </c>
      <c r="B472" s="4" t="s">
        <v>360</v>
      </c>
      <c r="C472" s="151" t="s">
        <v>721</v>
      </c>
      <c r="D472" s="152"/>
      <c r="E472" s="152"/>
      <c r="F472" s="4" t="s">
        <v>748</v>
      </c>
      <c r="G472" s="16">
        <v>2</v>
      </c>
      <c r="H472" s="16">
        <v>0</v>
      </c>
      <c r="I472" s="16">
        <f>G472*AO472</f>
        <v>0</v>
      </c>
      <c r="J472" s="16">
        <f>G472*AP472</f>
        <v>0</v>
      </c>
      <c r="K472" s="16">
        <f>G472*H472</f>
        <v>0</v>
      </c>
      <c r="L472" s="28" t="s">
        <v>775</v>
      </c>
      <c r="Z472" s="33">
        <f>IF(AQ472="5",BJ472,0)</f>
        <v>0</v>
      </c>
      <c r="AB472" s="33">
        <f>IF(AQ472="1",BH472,0)</f>
        <v>0</v>
      </c>
      <c r="AC472" s="33">
        <f>IF(AQ472="1",BI472,0)</f>
        <v>0</v>
      </c>
      <c r="AD472" s="33">
        <f>IF(AQ472="7",BH472,0)</f>
        <v>0</v>
      </c>
      <c r="AE472" s="33">
        <f>IF(AQ472="7",BI472,0)</f>
        <v>0</v>
      </c>
      <c r="AF472" s="33">
        <f>IF(AQ472="2",BH472,0)</f>
        <v>0</v>
      </c>
      <c r="AG472" s="33">
        <f>IF(AQ472="2",BI472,0)</f>
        <v>0</v>
      </c>
      <c r="AH472" s="33">
        <f>IF(AQ472="0",BJ472,0)</f>
        <v>0</v>
      </c>
      <c r="AI472" s="29"/>
      <c r="AJ472" s="16">
        <f>IF(AN472=0,K472,0)</f>
        <v>0</v>
      </c>
      <c r="AK472" s="16">
        <f>IF(AN472=15,K472,0)</f>
        <v>0</v>
      </c>
      <c r="AL472" s="16">
        <f>IF(AN472=21,K472,0)</f>
        <v>0</v>
      </c>
      <c r="AN472" s="33">
        <v>15</v>
      </c>
      <c r="AO472" s="33">
        <f>H472*0</f>
        <v>0</v>
      </c>
      <c r="AP472" s="33">
        <f>H472*(1-0)</f>
        <v>0</v>
      </c>
      <c r="AQ472" s="28" t="s">
        <v>8</v>
      </c>
      <c r="AV472" s="33">
        <f>AW472+AX472</f>
        <v>0</v>
      </c>
      <c r="AW472" s="33">
        <f>G472*AO472</f>
        <v>0</v>
      </c>
      <c r="AX472" s="33">
        <f>G472*AP472</f>
        <v>0</v>
      </c>
      <c r="AY472" s="34" t="s">
        <v>809</v>
      </c>
      <c r="AZ472" s="34" t="s">
        <v>818</v>
      </c>
      <c r="BA472" s="29" t="s">
        <v>820</v>
      </c>
      <c r="BC472" s="33">
        <f>AW472+AX472</f>
        <v>0</v>
      </c>
      <c r="BD472" s="33">
        <f>H472/(100-BE472)*100</f>
        <v>0</v>
      </c>
      <c r="BE472" s="33">
        <v>0</v>
      </c>
      <c r="BF472" s="33">
        <f>472</f>
        <v>472</v>
      </c>
      <c r="BH472" s="16">
        <f>G472*AO472</f>
        <v>0</v>
      </c>
      <c r="BI472" s="16">
        <f>G472*AP472</f>
        <v>0</v>
      </c>
      <c r="BJ472" s="16">
        <f>G472*H472</f>
        <v>0</v>
      </c>
    </row>
    <row r="473" spans="3:7" ht="10.5" customHeight="1">
      <c r="C473" s="153" t="s">
        <v>382</v>
      </c>
      <c r="D473" s="154"/>
      <c r="E473" s="154"/>
      <c r="G473" s="17">
        <v>2</v>
      </c>
    </row>
    <row r="474" spans="1:62" ht="12.75">
      <c r="A474" s="4" t="s">
        <v>185</v>
      </c>
      <c r="B474" s="4" t="s">
        <v>361</v>
      </c>
      <c r="C474" s="151" t="s">
        <v>722</v>
      </c>
      <c r="D474" s="152"/>
      <c r="E474" s="152"/>
      <c r="F474" s="4" t="s">
        <v>747</v>
      </c>
      <c r="G474" s="16">
        <v>4</v>
      </c>
      <c r="H474" s="16">
        <v>0</v>
      </c>
      <c r="I474" s="16">
        <f>G474*AO474</f>
        <v>0</v>
      </c>
      <c r="J474" s="16">
        <f>G474*AP474</f>
        <v>0</v>
      </c>
      <c r="K474" s="16">
        <f>G474*H474</f>
        <v>0</v>
      </c>
      <c r="L474" s="28" t="s">
        <v>775</v>
      </c>
      <c r="Z474" s="33">
        <f>IF(AQ474="5",BJ474,0)</f>
        <v>0</v>
      </c>
      <c r="AB474" s="33">
        <f>IF(AQ474="1",BH474,0)</f>
        <v>0</v>
      </c>
      <c r="AC474" s="33">
        <f>IF(AQ474="1",BI474,0)</f>
        <v>0</v>
      </c>
      <c r="AD474" s="33">
        <f>IF(AQ474="7",BH474,0)</f>
        <v>0</v>
      </c>
      <c r="AE474" s="33">
        <f>IF(AQ474="7",BI474,0)</f>
        <v>0</v>
      </c>
      <c r="AF474" s="33">
        <f>IF(AQ474="2",BH474,0)</f>
        <v>0</v>
      </c>
      <c r="AG474" s="33">
        <f>IF(AQ474="2",BI474,0)</f>
        <v>0</v>
      </c>
      <c r="AH474" s="33">
        <f>IF(AQ474="0",BJ474,0)</f>
        <v>0</v>
      </c>
      <c r="AI474" s="29"/>
      <c r="AJ474" s="16">
        <f>IF(AN474=0,K474,0)</f>
        <v>0</v>
      </c>
      <c r="AK474" s="16">
        <f>IF(AN474=15,K474,0)</f>
        <v>0</v>
      </c>
      <c r="AL474" s="16">
        <f>IF(AN474=21,K474,0)</f>
        <v>0</v>
      </c>
      <c r="AN474" s="33">
        <v>15</v>
      </c>
      <c r="AO474" s="33">
        <f>H474*0</f>
        <v>0</v>
      </c>
      <c r="AP474" s="33">
        <f>H474*(1-0)</f>
        <v>0</v>
      </c>
      <c r="AQ474" s="28" t="s">
        <v>7</v>
      </c>
      <c r="AV474" s="33">
        <f>AW474+AX474</f>
        <v>0</v>
      </c>
      <c r="AW474" s="33">
        <f>G474*AO474</f>
        <v>0</v>
      </c>
      <c r="AX474" s="33">
        <f>G474*AP474</f>
        <v>0</v>
      </c>
      <c r="AY474" s="34" t="s">
        <v>809</v>
      </c>
      <c r="AZ474" s="34" t="s">
        <v>818</v>
      </c>
      <c r="BA474" s="29" t="s">
        <v>820</v>
      </c>
      <c r="BC474" s="33">
        <f>AW474+AX474</f>
        <v>0</v>
      </c>
      <c r="BD474" s="33">
        <f>H474/(100-BE474)*100</f>
        <v>0</v>
      </c>
      <c r="BE474" s="33">
        <v>0</v>
      </c>
      <c r="BF474" s="33">
        <f>474</f>
        <v>474</v>
      </c>
      <c r="BH474" s="16">
        <f>G474*AO474</f>
        <v>0</v>
      </c>
      <c r="BI474" s="16">
        <f>G474*AP474</f>
        <v>0</v>
      </c>
      <c r="BJ474" s="16">
        <f>G474*H474</f>
        <v>0</v>
      </c>
    </row>
    <row r="475" spans="3:7" ht="10.5" customHeight="1">
      <c r="C475" s="153" t="s">
        <v>723</v>
      </c>
      <c r="D475" s="154"/>
      <c r="E475" s="154"/>
      <c r="G475" s="17">
        <v>4</v>
      </c>
    </row>
    <row r="476" spans="1:62" ht="12.75">
      <c r="A476" s="6" t="s">
        <v>186</v>
      </c>
      <c r="B476" s="6" t="s">
        <v>362</v>
      </c>
      <c r="C476" s="165" t="s">
        <v>724</v>
      </c>
      <c r="D476" s="166"/>
      <c r="E476" s="166"/>
      <c r="F476" s="6" t="s">
        <v>748</v>
      </c>
      <c r="G476" s="18">
        <v>1.75</v>
      </c>
      <c r="H476" s="18">
        <v>0</v>
      </c>
      <c r="I476" s="18">
        <f>G476*AO476</f>
        <v>0</v>
      </c>
      <c r="J476" s="18">
        <f>G476*AP476</f>
        <v>0</v>
      </c>
      <c r="K476" s="18">
        <f>G476*H476</f>
        <v>0</v>
      </c>
      <c r="L476" s="30" t="s">
        <v>775</v>
      </c>
      <c r="Z476" s="33">
        <f>IF(AQ476="5",BJ476,0)</f>
        <v>0</v>
      </c>
      <c r="AB476" s="33">
        <f>IF(AQ476="1",BH476,0)</f>
        <v>0</v>
      </c>
      <c r="AC476" s="33">
        <f>IF(AQ476="1",BI476,0)</f>
        <v>0</v>
      </c>
      <c r="AD476" s="33">
        <f>IF(AQ476="7",BH476,0)</f>
        <v>0</v>
      </c>
      <c r="AE476" s="33">
        <f>IF(AQ476="7",BI476,0)</f>
        <v>0</v>
      </c>
      <c r="AF476" s="33">
        <f>IF(AQ476="2",BH476,0)</f>
        <v>0</v>
      </c>
      <c r="AG476" s="33">
        <f>IF(AQ476="2",BI476,0)</f>
        <v>0</v>
      </c>
      <c r="AH476" s="33">
        <f>IF(AQ476="0",BJ476,0)</f>
        <v>0</v>
      </c>
      <c r="AI476" s="29"/>
      <c r="AJ476" s="18">
        <f>IF(AN476=0,K476,0)</f>
        <v>0</v>
      </c>
      <c r="AK476" s="18">
        <f>IF(AN476=15,K476,0)</f>
        <v>0</v>
      </c>
      <c r="AL476" s="18">
        <f>IF(AN476=21,K476,0)</f>
        <v>0</v>
      </c>
      <c r="AN476" s="33">
        <v>15</v>
      </c>
      <c r="AO476" s="33">
        <f>H476*1</f>
        <v>0</v>
      </c>
      <c r="AP476" s="33">
        <f>H476*(1-1)</f>
        <v>0</v>
      </c>
      <c r="AQ476" s="30" t="s">
        <v>7</v>
      </c>
      <c r="AV476" s="33">
        <f>AW476+AX476</f>
        <v>0</v>
      </c>
      <c r="AW476" s="33">
        <f>G476*AO476</f>
        <v>0</v>
      </c>
      <c r="AX476" s="33">
        <f>G476*AP476</f>
        <v>0</v>
      </c>
      <c r="AY476" s="34" t="s">
        <v>809</v>
      </c>
      <c r="AZ476" s="34" t="s">
        <v>818</v>
      </c>
      <c r="BA476" s="29" t="s">
        <v>820</v>
      </c>
      <c r="BC476" s="33">
        <f>AW476+AX476</f>
        <v>0</v>
      </c>
      <c r="BD476" s="33">
        <f>H476/(100-BE476)*100</f>
        <v>0</v>
      </c>
      <c r="BE476" s="33">
        <v>0</v>
      </c>
      <c r="BF476" s="33">
        <f>476</f>
        <v>476</v>
      </c>
      <c r="BH476" s="18">
        <f>G476*AO476</f>
        <v>0</v>
      </c>
      <c r="BI476" s="18">
        <f>G476*AP476</f>
        <v>0</v>
      </c>
      <c r="BJ476" s="18">
        <f>G476*H476</f>
        <v>0</v>
      </c>
    </row>
    <row r="477" spans="3:7" ht="10.5" customHeight="1">
      <c r="C477" s="153" t="s">
        <v>725</v>
      </c>
      <c r="D477" s="154"/>
      <c r="E477" s="154"/>
      <c r="G477" s="17">
        <v>1.75</v>
      </c>
    </row>
    <row r="478" spans="1:62" ht="12.75">
      <c r="A478" s="6" t="s">
        <v>187</v>
      </c>
      <c r="B478" s="6" t="s">
        <v>363</v>
      </c>
      <c r="C478" s="165" t="s">
        <v>726</v>
      </c>
      <c r="D478" s="166"/>
      <c r="E478" s="166"/>
      <c r="F478" s="6" t="s">
        <v>748</v>
      </c>
      <c r="G478" s="18">
        <v>2.25</v>
      </c>
      <c r="H478" s="18">
        <v>0</v>
      </c>
      <c r="I478" s="18">
        <f>G478*AO478</f>
        <v>0</v>
      </c>
      <c r="J478" s="18">
        <f>G478*AP478</f>
        <v>0</v>
      </c>
      <c r="K478" s="18">
        <f>G478*H478</f>
        <v>0</v>
      </c>
      <c r="L478" s="30" t="s">
        <v>775</v>
      </c>
      <c r="Z478" s="33">
        <f>IF(AQ478="5",BJ478,0)</f>
        <v>0</v>
      </c>
      <c r="AB478" s="33">
        <f>IF(AQ478="1",BH478,0)</f>
        <v>0</v>
      </c>
      <c r="AC478" s="33">
        <f>IF(AQ478="1",BI478,0)</f>
        <v>0</v>
      </c>
      <c r="AD478" s="33">
        <f>IF(AQ478="7",BH478,0)</f>
        <v>0</v>
      </c>
      <c r="AE478" s="33">
        <f>IF(AQ478="7",BI478,0)</f>
        <v>0</v>
      </c>
      <c r="AF478" s="33">
        <f>IF(AQ478="2",BH478,0)</f>
        <v>0</v>
      </c>
      <c r="AG478" s="33">
        <f>IF(AQ478="2",BI478,0)</f>
        <v>0</v>
      </c>
      <c r="AH478" s="33">
        <f>IF(AQ478="0",BJ478,0)</f>
        <v>0</v>
      </c>
      <c r="AI478" s="29"/>
      <c r="AJ478" s="18">
        <f>IF(AN478=0,K478,0)</f>
        <v>0</v>
      </c>
      <c r="AK478" s="18">
        <f>IF(AN478=15,K478,0)</f>
        <v>0</v>
      </c>
      <c r="AL478" s="18">
        <f>IF(AN478=21,K478,0)</f>
        <v>0</v>
      </c>
      <c r="AN478" s="33">
        <v>15</v>
      </c>
      <c r="AO478" s="33">
        <f>H478*1</f>
        <v>0</v>
      </c>
      <c r="AP478" s="33">
        <f>H478*(1-1)</f>
        <v>0</v>
      </c>
      <c r="AQ478" s="30" t="s">
        <v>7</v>
      </c>
      <c r="AV478" s="33">
        <f>AW478+AX478</f>
        <v>0</v>
      </c>
      <c r="AW478" s="33">
        <f>G478*AO478</f>
        <v>0</v>
      </c>
      <c r="AX478" s="33">
        <f>G478*AP478</f>
        <v>0</v>
      </c>
      <c r="AY478" s="34" t="s">
        <v>809</v>
      </c>
      <c r="AZ478" s="34" t="s">
        <v>818</v>
      </c>
      <c r="BA478" s="29" t="s">
        <v>820</v>
      </c>
      <c r="BC478" s="33">
        <f>AW478+AX478</f>
        <v>0</v>
      </c>
      <c r="BD478" s="33">
        <f>H478/(100-BE478)*100</f>
        <v>0</v>
      </c>
      <c r="BE478" s="33">
        <v>0</v>
      </c>
      <c r="BF478" s="33">
        <f>478</f>
        <v>478</v>
      </c>
      <c r="BH478" s="18">
        <f>G478*AO478</f>
        <v>0</v>
      </c>
      <c r="BI478" s="18">
        <f>G478*AP478</f>
        <v>0</v>
      </c>
      <c r="BJ478" s="18">
        <f>G478*H478</f>
        <v>0</v>
      </c>
    </row>
    <row r="479" spans="3:7" ht="10.5" customHeight="1">
      <c r="C479" s="153" t="s">
        <v>727</v>
      </c>
      <c r="D479" s="154"/>
      <c r="E479" s="154"/>
      <c r="G479" s="17">
        <v>2.25</v>
      </c>
    </row>
    <row r="480" spans="1:62" ht="12.75">
      <c r="A480" s="4" t="s">
        <v>188</v>
      </c>
      <c r="B480" s="4" t="s">
        <v>364</v>
      </c>
      <c r="C480" s="151" t="s">
        <v>728</v>
      </c>
      <c r="D480" s="152"/>
      <c r="E480" s="152"/>
      <c r="F480" s="4" t="s">
        <v>748</v>
      </c>
      <c r="G480" s="16">
        <v>1</v>
      </c>
      <c r="H480" s="16">
        <v>0</v>
      </c>
      <c r="I480" s="16">
        <f>G480*AO480</f>
        <v>0</v>
      </c>
      <c r="J480" s="16">
        <f>G480*AP480</f>
        <v>0</v>
      </c>
      <c r="K480" s="16">
        <f>G480*H480</f>
        <v>0</v>
      </c>
      <c r="L480" s="28" t="s">
        <v>775</v>
      </c>
      <c r="Z480" s="33">
        <f>IF(AQ480="5",BJ480,0)</f>
        <v>0</v>
      </c>
      <c r="AB480" s="33">
        <f>IF(AQ480="1",BH480,0)</f>
        <v>0</v>
      </c>
      <c r="AC480" s="33">
        <f>IF(AQ480="1",BI480,0)</f>
        <v>0</v>
      </c>
      <c r="AD480" s="33">
        <f>IF(AQ480="7",BH480,0)</f>
        <v>0</v>
      </c>
      <c r="AE480" s="33">
        <f>IF(AQ480="7",BI480,0)</f>
        <v>0</v>
      </c>
      <c r="AF480" s="33">
        <f>IF(AQ480="2",BH480,0)</f>
        <v>0</v>
      </c>
      <c r="AG480" s="33">
        <f>IF(AQ480="2",BI480,0)</f>
        <v>0</v>
      </c>
      <c r="AH480" s="33">
        <f>IF(AQ480="0",BJ480,0)</f>
        <v>0</v>
      </c>
      <c r="AI480" s="29"/>
      <c r="AJ480" s="16">
        <f>IF(AN480=0,K480,0)</f>
        <v>0</v>
      </c>
      <c r="AK480" s="16">
        <f>IF(AN480=15,K480,0)</f>
        <v>0</v>
      </c>
      <c r="AL480" s="16">
        <f>IF(AN480=21,K480,0)</f>
        <v>0</v>
      </c>
      <c r="AN480" s="33">
        <v>15</v>
      </c>
      <c r="AO480" s="33">
        <f>H480*0.112994350282486</f>
        <v>0</v>
      </c>
      <c r="AP480" s="33">
        <f>H480*(1-0.112994350282486)</f>
        <v>0</v>
      </c>
      <c r="AQ480" s="28" t="s">
        <v>7</v>
      </c>
      <c r="AV480" s="33">
        <f>AW480+AX480</f>
        <v>0</v>
      </c>
      <c r="AW480" s="33">
        <f>G480*AO480</f>
        <v>0</v>
      </c>
      <c r="AX480" s="33">
        <f>G480*AP480</f>
        <v>0</v>
      </c>
      <c r="AY480" s="34" t="s">
        <v>809</v>
      </c>
      <c r="AZ480" s="34" t="s">
        <v>818</v>
      </c>
      <c r="BA480" s="29" t="s">
        <v>820</v>
      </c>
      <c r="BC480" s="33">
        <f>AW480+AX480</f>
        <v>0</v>
      </c>
      <c r="BD480" s="33">
        <f>H480/(100-BE480)*100</f>
        <v>0</v>
      </c>
      <c r="BE480" s="33">
        <v>0</v>
      </c>
      <c r="BF480" s="33">
        <f>480</f>
        <v>480</v>
      </c>
      <c r="BH480" s="16">
        <f>G480*AO480</f>
        <v>0</v>
      </c>
      <c r="BI480" s="16">
        <f>G480*AP480</f>
        <v>0</v>
      </c>
      <c r="BJ480" s="16">
        <f>G480*H480</f>
        <v>0</v>
      </c>
    </row>
    <row r="481" spans="3:7" ht="10.5" customHeight="1">
      <c r="C481" s="153" t="s">
        <v>429</v>
      </c>
      <c r="D481" s="154"/>
      <c r="E481" s="154"/>
      <c r="G481" s="17">
        <v>1</v>
      </c>
    </row>
    <row r="482" spans="1:62" ht="12.75">
      <c r="A482" s="4" t="s">
        <v>189</v>
      </c>
      <c r="B482" s="4" t="s">
        <v>365</v>
      </c>
      <c r="C482" s="151" t="s">
        <v>729</v>
      </c>
      <c r="D482" s="152"/>
      <c r="E482" s="152"/>
      <c r="F482" s="4" t="s">
        <v>748</v>
      </c>
      <c r="G482" s="16">
        <v>4</v>
      </c>
      <c r="H482" s="16">
        <v>0</v>
      </c>
      <c r="I482" s="16">
        <f>G482*AO482</f>
        <v>0</v>
      </c>
      <c r="J482" s="16">
        <f>G482*AP482</f>
        <v>0</v>
      </c>
      <c r="K482" s="16">
        <f>G482*H482</f>
        <v>0</v>
      </c>
      <c r="L482" s="28" t="s">
        <v>775</v>
      </c>
      <c r="Z482" s="33">
        <f>IF(AQ482="5",BJ482,0)</f>
        <v>0</v>
      </c>
      <c r="AB482" s="33">
        <f>IF(AQ482="1",BH482,0)</f>
        <v>0</v>
      </c>
      <c r="AC482" s="33">
        <f>IF(AQ482="1",BI482,0)</f>
        <v>0</v>
      </c>
      <c r="AD482" s="33">
        <f>IF(AQ482="7",BH482,0)</f>
        <v>0</v>
      </c>
      <c r="AE482" s="33">
        <f>IF(AQ482="7",BI482,0)</f>
        <v>0</v>
      </c>
      <c r="AF482" s="33">
        <f>IF(AQ482="2",BH482,0)</f>
        <v>0</v>
      </c>
      <c r="AG482" s="33">
        <f>IF(AQ482="2",BI482,0)</f>
        <v>0</v>
      </c>
      <c r="AH482" s="33">
        <f>IF(AQ482="0",BJ482,0)</f>
        <v>0</v>
      </c>
      <c r="AI482" s="29"/>
      <c r="AJ482" s="16">
        <f>IF(AN482=0,K482,0)</f>
        <v>0</v>
      </c>
      <c r="AK482" s="16">
        <f>IF(AN482=15,K482,0)</f>
        <v>0</v>
      </c>
      <c r="AL482" s="16">
        <f>IF(AN482=21,K482,0)</f>
        <v>0</v>
      </c>
      <c r="AN482" s="33">
        <v>15</v>
      </c>
      <c r="AO482" s="33">
        <f>H482*0.505913554583901</f>
        <v>0</v>
      </c>
      <c r="AP482" s="33">
        <f>H482*(1-0.505913554583901)</f>
        <v>0</v>
      </c>
      <c r="AQ482" s="28" t="s">
        <v>7</v>
      </c>
      <c r="AV482" s="33">
        <f>AW482+AX482</f>
        <v>0</v>
      </c>
      <c r="AW482" s="33">
        <f>G482*AO482</f>
        <v>0</v>
      </c>
      <c r="AX482" s="33">
        <f>G482*AP482</f>
        <v>0</v>
      </c>
      <c r="AY482" s="34" t="s">
        <v>809</v>
      </c>
      <c r="AZ482" s="34" t="s">
        <v>818</v>
      </c>
      <c r="BA482" s="29" t="s">
        <v>820</v>
      </c>
      <c r="BC482" s="33">
        <f>AW482+AX482</f>
        <v>0</v>
      </c>
      <c r="BD482" s="33">
        <f>H482/(100-BE482)*100</f>
        <v>0</v>
      </c>
      <c r="BE482" s="33">
        <v>0</v>
      </c>
      <c r="BF482" s="33">
        <f>482</f>
        <v>482</v>
      </c>
      <c r="BH482" s="16">
        <f>G482*AO482</f>
        <v>0</v>
      </c>
      <c r="BI482" s="16">
        <f>G482*AP482</f>
        <v>0</v>
      </c>
      <c r="BJ482" s="16">
        <f>G482*H482</f>
        <v>0</v>
      </c>
    </row>
    <row r="483" spans="3:7" ht="10.5" customHeight="1">
      <c r="C483" s="153" t="s">
        <v>464</v>
      </c>
      <c r="D483" s="154"/>
      <c r="E483" s="154"/>
      <c r="G483" s="17">
        <v>4</v>
      </c>
    </row>
    <row r="484" spans="1:62" ht="12.75">
      <c r="A484" s="4" t="s">
        <v>190</v>
      </c>
      <c r="B484" s="4" t="s">
        <v>366</v>
      </c>
      <c r="C484" s="151" t="s">
        <v>730</v>
      </c>
      <c r="D484" s="152"/>
      <c r="E484" s="152"/>
      <c r="F484" s="4" t="s">
        <v>748</v>
      </c>
      <c r="G484" s="16">
        <v>1</v>
      </c>
      <c r="H484" s="16">
        <v>0</v>
      </c>
      <c r="I484" s="16">
        <f>G484*AO484</f>
        <v>0</v>
      </c>
      <c r="J484" s="16">
        <f>G484*AP484</f>
        <v>0</v>
      </c>
      <c r="K484" s="16">
        <f>G484*H484</f>
        <v>0</v>
      </c>
      <c r="L484" s="28" t="s">
        <v>775</v>
      </c>
      <c r="Z484" s="33">
        <f>IF(AQ484="5",BJ484,0)</f>
        <v>0</v>
      </c>
      <c r="AB484" s="33">
        <f>IF(AQ484="1",BH484,0)</f>
        <v>0</v>
      </c>
      <c r="AC484" s="33">
        <f>IF(AQ484="1",BI484,0)</f>
        <v>0</v>
      </c>
      <c r="AD484" s="33">
        <f>IF(AQ484="7",BH484,0)</f>
        <v>0</v>
      </c>
      <c r="AE484" s="33">
        <f>IF(AQ484="7",BI484,0)</f>
        <v>0</v>
      </c>
      <c r="AF484" s="33">
        <f>IF(AQ484="2",BH484,0)</f>
        <v>0</v>
      </c>
      <c r="AG484" s="33">
        <f>IF(AQ484="2",BI484,0)</f>
        <v>0</v>
      </c>
      <c r="AH484" s="33">
        <f>IF(AQ484="0",BJ484,0)</f>
        <v>0</v>
      </c>
      <c r="AI484" s="29"/>
      <c r="AJ484" s="16">
        <f>IF(AN484=0,K484,0)</f>
        <v>0</v>
      </c>
      <c r="AK484" s="16">
        <f>IF(AN484=15,K484,0)</f>
        <v>0</v>
      </c>
      <c r="AL484" s="16">
        <f>IF(AN484=21,K484,0)</f>
        <v>0</v>
      </c>
      <c r="AN484" s="33">
        <v>15</v>
      </c>
      <c r="AO484" s="33">
        <f>H484*0</f>
        <v>0</v>
      </c>
      <c r="AP484" s="33">
        <f>H484*(1-0)</f>
        <v>0</v>
      </c>
      <c r="AQ484" s="28" t="s">
        <v>8</v>
      </c>
      <c r="AV484" s="33">
        <f>AW484+AX484</f>
        <v>0</v>
      </c>
      <c r="AW484" s="33">
        <f>G484*AO484</f>
        <v>0</v>
      </c>
      <c r="AX484" s="33">
        <f>G484*AP484</f>
        <v>0</v>
      </c>
      <c r="AY484" s="34" t="s">
        <v>809</v>
      </c>
      <c r="AZ484" s="34" t="s">
        <v>818</v>
      </c>
      <c r="BA484" s="29" t="s">
        <v>820</v>
      </c>
      <c r="BC484" s="33">
        <f>AW484+AX484</f>
        <v>0</v>
      </c>
      <c r="BD484" s="33">
        <f>H484/(100-BE484)*100</f>
        <v>0</v>
      </c>
      <c r="BE484" s="33">
        <v>0</v>
      </c>
      <c r="BF484" s="33">
        <f>484</f>
        <v>484</v>
      </c>
      <c r="BH484" s="16">
        <f>G484*AO484</f>
        <v>0</v>
      </c>
      <c r="BI484" s="16">
        <f>G484*AP484</f>
        <v>0</v>
      </c>
      <c r="BJ484" s="16">
        <f>G484*H484</f>
        <v>0</v>
      </c>
    </row>
    <row r="485" spans="3:7" ht="10.5" customHeight="1">
      <c r="C485" s="153" t="s">
        <v>429</v>
      </c>
      <c r="D485" s="154"/>
      <c r="E485" s="154"/>
      <c r="G485" s="17">
        <v>1</v>
      </c>
    </row>
    <row r="486" spans="1:62" ht="12.75">
      <c r="A486" s="6" t="s">
        <v>191</v>
      </c>
      <c r="B486" s="6" t="s">
        <v>367</v>
      </c>
      <c r="C486" s="165" t="s">
        <v>731</v>
      </c>
      <c r="D486" s="166"/>
      <c r="E486" s="166"/>
      <c r="F486" s="6" t="s">
        <v>748</v>
      </c>
      <c r="G486" s="18">
        <v>1</v>
      </c>
      <c r="H486" s="18">
        <v>0</v>
      </c>
      <c r="I486" s="18">
        <f>G486*AO486</f>
        <v>0</v>
      </c>
      <c r="J486" s="18">
        <f>G486*AP486</f>
        <v>0</v>
      </c>
      <c r="K486" s="18">
        <f>G486*H486</f>
        <v>0</v>
      </c>
      <c r="L486" s="30" t="s">
        <v>775</v>
      </c>
      <c r="Z486" s="33">
        <f>IF(AQ486="5",BJ486,0)</f>
        <v>0</v>
      </c>
      <c r="AB486" s="33">
        <f>IF(AQ486="1",BH486,0)</f>
        <v>0</v>
      </c>
      <c r="AC486" s="33">
        <f>IF(AQ486="1",BI486,0)</f>
        <v>0</v>
      </c>
      <c r="AD486" s="33">
        <f>IF(AQ486="7",BH486,0)</f>
        <v>0</v>
      </c>
      <c r="AE486" s="33">
        <f>IF(AQ486="7",BI486,0)</f>
        <v>0</v>
      </c>
      <c r="AF486" s="33">
        <f>IF(AQ486="2",BH486,0)</f>
        <v>0</v>
      </c>
      <c r="AG486" s="33">
        <f>IF(AQ486="2",BI486,0)</f>
        <v>0</v>
      </c>
      <c r="AH486" s="33">
        <f>IF(AQ486="0",BJ486,0)</f>
        <v>0</v>
      </c>
      <c r="AI486" s="29"/>
      <c r="AJ486" s="18">
        <f>IF(AN486=0,K486,0)</f>
        <v>0</v>
      </c>
      <c r="AK486" s="18">
        <f>IF(AN486=15,K486,0)</f>
        <v>0</v>
      </c>
      <c r="AL486" s="18">
        <f>IF(AN486=21,K486,0)</f>
        <v>0</v>
      </c>
      <c r="AN486" s="33">
        <v>15</v>
      </c>
      <c r="AO486" s="33">
        <f>H486*1</f>
        <v>0</v>
      </c>
      <c r="AP486" s="33">
        <f>H486*(1-1)</f>
        <v>0</v>
      </c>
      <c r="AQ486" s="30" t="s">
        <v>7</v>
      </c>
      <c r="AV486" s="33">
        <f>AW486+AX486</f>
        <v>0</v>
      </c>
      <c r="AW486" s="33">
        <f>G486*AO486</f>
        <v>0</v>
      </c>
      <c r="AX486" s="33">
        <f>G486*AP486</f>
        <v>0</v>
      </c>
      <c r="AY486" s="34" t="s">
        <v>809</v>
      </c>
      <c r="AZ486" s="34" t="s">
        <v>818</v>
      </c>
      <c r="BA486" s="29" t="s">
        <v>820</v>
      </c>
      <c r="BC486" s="33">
        <f>AW486+AX486</f>
        <v>0</v>
      </c>
      <c r="BD486" s="33">
        <f>H486/(100-BE486)*100</f>
        <v>0</v>
      </c>
      <c r="BE486" s="33">
        <v>0</v>
      </c>
      <c r="BF486" s="33">
        <f>486</f>
        <v>486</v>
      </c>
      <c r="BH486" s="18">
        <f>G486*AO486</f>
        <v>0</v>
      </c>
      <c r="BI486" s="18">
        <f>G486*AP486</f>
        <v>0</v>
      </c>
      <c r="BJ486" s="18">
        <f>G486*H486</f>
        <v>0</v>
      </c>
    </row>
    <row r="487" spans="3:7" ht="10.5" customHeight="1">
      <c r="C487" s="153" t="s">
        <v>429</v>
      </c>
      <c r="D487" s="154"/>
      <c r="E487" s="154"/>
      <c r="G487" s="17">
        <v>1</v>
      </c>
    </row>
    <row r="488" spans="1:47" ht="12.75">
      <c r="A488" s="5"/>
      <c r="B488" s="13" t="s">
        <v>106</v>
      </c>
      <c r="C488" s="157" t="s">
        <v>732</v>
      </c>
      <c r="D488" s="158"/>
      <c r="E488" s="158"/>
      <c r="F488" s="5" t="s">
        <v>6</v>
      </c>
      <c r="G488" s="5" t="s">
        <v>6</v>
      </c>
      <c r="H488" s="5" t="s">
        <v>6</v>
      </c>
      <c r="I488" s="36">
        <f>SUM(I489:I498)</f>
        <v>0</v>
      </c>
      <c r="J488" s="36">
        <f>SUM(J489:J498)</f>
        <v>0</v>
      </c>
      <c r="K488" s="36">
        <f>SUM(K489:K498)</f>
        <v>0</v>
      </c>
      <c r="L488" s="29"/>
      <c r="AI488" s="29"/>
      <c r="AS488" s="36">
        <f>SUM(AJ489:AJ498)</f>
        <v>0</v>
      </c>
      <c r="AT488" s="36">
        <f>SUM(AK489:AK498)</f>
        <v>0</v>
      </c>
      <c r="AU488" s="36">
        <f>SUM(AL489:AL498)</f>
        <v>0</v>
      </c>
    </row>
    <row r="489" spans="1:62" ht="12.75">
      <c r="A489" s="4" t="s">
        <v>192</v>
      </c>
      <c r="B489" s="4" t="s">
        <v>368</v>
      </c>
      <c r="C489" s="151" t="s">
        <v>733</v>
      </c>
      <c r="D489" s="152"/>
      <c r="E489" s="152"/>
      <c r="F489" s="4" t="s">
        <v>752</v>
      </c>
      <c r="G489" s="16">
        <v>1</v>
      </c>
      <c r="H489" s="16">
        <v>0</v>
      </c>
      <c r="I489" s="16">
        <f>G489*AO489</f>
        <v>0</v>
      </c>
      <c r="J489" s="16">
        <f>G489*AP489</f>
        <v>0</v>
      </c>
      <c r="K489" s="16">
        <f>G489*H489</f>
        <v>0</v>
      </c>
      <c r="L489" s="28" t="s">
        <v>776</v>
      </c>
      <c r="Z489" s="33">
        <f>IF(AQ489="5",BJ489,0)</f>
        <v>0</v>
      </c>
      <c r="AB489" s="33">
        <f>IF(AQ489="1",BH489,0)</f>
        <v>0</v>
      </c>
      <c r="AC489" s="33">
        <f>IF(AQ489="1",BI489,0)</f>
        <v>0</v>
      </c>
      <c r="AD489" s="33">
        <f>IF(AQ489="7",BH489,0)</f>
        <v>0</v>
      </c>
      <c r="AE489" s="33">
        <f>IF(AQ489="7",BI489,0)</f>
        <v>0</v>
      </c>
      <c r="AF489" s="33">
        <f>IF(AQ489="2",BH489,0)</f>
        <v>0</v>
      </c>
      <c r="AG489" s="33">
        <f>IF(AQ489="2",BI489,0)</f>
        <v>0</v>
      </c>
      <c r="AH489" s="33">
        <f>IF(AQ489="0",BJ489,0)</f>
        <v>0</v>
      </c>
      <c r="AI489" s="29"/>
      <c r="AJ489" s="16">
        <f>IF(AN489=0,K489,0)</f>
        <v>0</v>
      </c>
      <c r="AK489" s="16">
        <f>IF(AN489=15,K489,0)</f>
        <v>0</v>
      </c>
      <c r="AL489" s="16">
        <f>IF(AN489=21,K489,0)</f>
        <v>0</v>
      </c>
      <c r="AN489" s="33">
        <v>15</v>
      </c>
      <c r="AO489" s="33">
        <f>H489*1</f>
        <v>0</v>
      </c>
      <c r="AP489" s="33">
        <f>H489*(1-1)</f>
        <v>0</v>
      </c>
      <c r="AQ489" s="28" t="s">
        <v>7</v>
      </c>
      <c r="AV489" s="33">
        <f>AW489+AX489</f>
        <v>0</v>
      </c>
      <c r="AW489" s="33">
        <f>G489*AO489</f>
        <v>0</v>
      </c>
      <c r="AX489" s="33">
        <f>G489*AP489</f>
        <v>0</v>
      </c>
      <c r="AY489" s="34" t="s">
        <v>810</v>
      </c>
      <c r="AZ489" s="34" t="s">
        <v>819</v>
      </c>
      <c r="BA489" s="29" t="s">
        <v>820</v>
      </c>
      <c r="BC489" s="33">
        <f>AW489+AX489</f>
        <v>0</v>
      </c>
      <c r="BD489" s="33">
        <f>H489/(100-BE489)*100</f>
        <v>0</v>
      </c>
      <c r="BE489" s="33">
        <v>0</v>
      </c>
      <c r="BF489" s="33">
        <f>489</f>
        <v>489</v>
      </c>
      <c r="BH489" s="16">
        <f>G489*AO489</f>
        <v>0</v>
      </c>
      <c r="BI489" s="16">
        <f>G489*AP489</f>
        <v>0</v>
      </c>
      <c r="BJ489" s="16">
        <f>G489*H489</f>
        <v>0</v>
      </c>
    </row>
    <row r="490" spans="3:5" ht="12.75">
      <c r="C490" s="155" t="s">
        <v>734</v>
      </c>
      <c r="D490" s="156"/>
      <c r="E490" s="156"/>
    </row>
    <row r="491" spans="3:7" ht="10.5" customHeight="1">
      <c r="C491" s="153" t="s">
        <v>429</v>
      </c>
      <c r="D491" s="154"/>
      <c r="E491" s="154"/>
      <c r="G491" s="17">
        <v>1</v>
      </c>
    </row>
    <row r="492" spans="1:62" ht="12.75">
      <c r="A492" s="4" t="s">
        <v>193</v>
      </c>
      <c r="B492" s="4" t="s">
        <v>369</v>
      </c>
      <c r="C492" s="151" t="s">
        <v>735</v>
      </c>
      <c r="D492" s="152"/>
      <c r="E492" s="152"/>
      <c r="F492" s="4" t="s">
        <v>752</v>
      </c>
      <c r="G492" s="16">
        <v>1</v>
      </c>
      <c r="H492" s="16">
        <v>0</v>
      </c>
      <c r="I492" s="16">
        <f>G492*AO492</f>
        <v>0</v>
      </c>
      <c r="J492" s="16">
        <f>G492*AP492</f>
        <v>0</v>
      </c>
      <c r="K492" s="16">
        <f>G492*H492</f>
        <v>0</v>
      </c>
      <c r="L492" s="28"/>
      <c r="Z492" s="33">
        <f>IF(AQ492="5",BJ492,0)</f>
        <v>0</v>
      </c>
      <c r="AB492" s="33">
        <f>IF(AQ492="1",BH492,0)</f>
        <v>0</v>
      </c>
      <c r="AC492" s="33">
        <f>IF(AQ492="1",BI492,0)</f>
        <v>0</v>
      </c>
      <c r="AD492" s="33">
        <f>IF(AQ492="7",BH492,0)</f>
        <v>0</v>
      </c>
      <c r="AE492" s="33">
        <f>IF(AQ492="7",BI492,0)</f>
        <v>0</v>
      </c>
      <c r="AF492" s="33">
        <f>IF(AQ492="2",BH492,0)</f>
        <v>0</v>
      </c>
      <c r="AG492" s="33">
        <f>IF(AQ492="2",BI492,0)</f>
        <v>0</v>
      </c>
      <c r="AH492" s="33">
        <f>IF(AQ492="0",BJ492,0)</f>
        <v>0</v>
      </c>
      <c r="AI492" s="29"/>
      <c r="AJ492" s="16">
        <f>IF(AN492=0,K492,0)</f>
        <v>0</v>
      </c>
      <c r="AK492" s="16">
        <f>IF(AN492=15,K492,0)</f>
        <v>0</v>
      </c>
      <c r="AL492" s="16">
        <f>IF(AN492=21,K492,0)</f>
        <v>0</v>
      </c>
      <c r="AN492" s="33">
        <v>15</v>
      </c>
      <c r="AO492" s="33">
        <f>H492*0</f>
        <v>0</v>
      </c>
      <c r="AP492" s="33">
        <f>H492*(1-0)</f>
        <v>0</v>
      </c>
      <c r="AQ492" s="28" t="s">
        <v>7</v>
      </c>
      <c r="AV492" s="33">
        <f>AW492+AX492</f>
        <v>0</v>
      </c>
      <c r="AW492" s="33">
        <f>G492*AO492</f>
        <v>0</v>
      </c>
      <c r="AX492" s="33">
        <f>G492*AP492</f>
        <v>0</v>
      </c>
      <c r="AY492" s="34" t="s">
        <v>810</v>
      </c>
      <c r="AZ492" s="34" t="s">
        <v>819</v>
      </c>
      <c r="BA492" s="29" t="s">
        <v>820</v>
      </c>
      <c r="BC492" s="33">
        <f>AW492+AX492</f>
        <v>0</v>
      </c>
      <c r="BD492" s="33">
        <f>H492/(100-BE492)*100</f>
        <v>0</v>
      </c>
      <c r="BE492" s="33">
        <v>0</v>
      </c>
      <c r="BF492" s="33">
        <f>492</f>
        <v>492</v>
      </c>
      <c r="BH492" s="16">
        <f>G492*AO492</f>
        <v>0</v>
      </c>
      <c r="BI492" s="16">
        <f>G492*AP492</f>
        <v>0</v>
      </c>
      <c r="BJ492" s="16">
        <f>G492*H492</f>
        <v>0</v>
      </c>
    </row>
    <row r="493" spans="3:5" ht="12.75">
      <c r="C493" s="155" t="s">
        <v>736</v>
      </c>
      <c r="D493" s="156"/>
      <c r="E493" s="156"/>
    </row>
    <row r="494" spans="3:7" ht="10.5" customHeight="1">
      <c r="C494" s="153" t="s">
        <v>429</v>
      </c>
      <c r="D494" s="154"/>
      <c r="E494" s="154"/>
      <c r="G494" s="17">
        <v>1</v>
      </c>
    </row>
    <row r="495" spans="1:62" ht="12.75">
      <c r="A495" s="4" t="s">
        <v>194</v>
      </c>
      <c r="B495" s="4" t="s">
        <v>369</v>
      </c>
      <c r="C495" s="151" t="s">
        <v>737</v>
      </c>
      <c r="D495" s="152"/>
      <c r="E495" s="152"/>
      <c r="F495" s="4" t="s">
        <v>752</v>
      </c>
      <c r="G495" s="16">
        <v>1</v>
      </c>
      <c r="H495" s="16">
        <v>0</v>
      </c>
      <c r="I495" s="16">
        <f>G495*AO495</f>
        <v>0</v>
      </c>
      <c r="J495" s="16">
        <f>G495*AP495</f>
        <v>0</v>
      </c>
      <c r="K495" s="16">
        <f>G495*H495</f>
        <v>0</v>
      </c>
      <c r="L495" s="28"/>
      <c r="Z495" s="33">
        <f>IF(AQ495="5",BJ495,0)</f>
        <v>0</v>
      </c>
      <c r="AB495" s="33">
        <f>IF(AQ495="1",BH495,0)</f>
        <v>0</v>
      </c>
      <c r="AC495" s="33">
        <f>IF(AQ495="1",BI495,0)</f>
        <v>0</v>
      </c>
      <c r="AD495" s="33">
        <f>IF(AQ495="7",BH495,0)</f>
        <v>0</v>
      </c>
      <c r="AE495" s="33">
        <f>IF(AQ495="7",BI495,0)</f>
        <v>0</v>
      </c>
      <c r="AF495" s="33">
        <f>IF(AQ495="2",BH495,0)</f>
        <v>0</v>
      </c>
      <c r="AG495" s="33">
        <f>IF(AQ495="2",BI495,0)</f>
        <v>0</v>
      </c>
      <c r="AH495" s="33">
        <f>IF(AQ495="0",BJ495,0)</f>
        <v>0</v>
      </c>
      <c r="AI495" s="29"/>
      <c r="AJ495" s="16">
        <f>IF(AN495=0,K495,0)</f>
        <v>0</v>
      </c>
      <c r="AK495" s="16">
        <f>IF(AN495=15,K495,0)</f>
        <v>0</v>
      </c>
      <c r="AL495" s="16">
        <f>IF(AN495=21,K495,0)</f>
        <v>0</v>
      </c>
      <c r="AN495" s="33">
        <v>15</v>
      </c>
      <c r="AO495" s="33">
        <f>H495*0</f>
        <v>0</v>
      </c>
      <c r="AP495" s="33">
        <f>H495*(1-0)</f>
        <v>0</v>
      </c>
      <c r="AQ495" s="28" t="s">
        <v>7</v>
      </c>
      <c r="AV495" s="33">
        <f>AW495+AX495</f>
        <v>0</v>
      </c>
      <c r="AW495" s="33">
        <f>G495*AO495</f>
        <v>0</v>
      </c>
      <c r="AX495" s="33">
        <f>G495*AP495</f>
        <v>0</v>
      </c>
      <c r="AY495" s="34" t="s">
        <v>810</v>
      </c>
      <c r="AZ495" s="34" t="s">
        <v>819</v>
      </c>
      <c r="BA495" s="29" t="s">
        <v>820</v>
      </c>
      <c r="BC495" s="33">
        <f>AW495+AX495</f>
        <v>0</v>
      </c>
      <c r="BD495" s="33">
        <f>H495/(100-BE495)*100</f>
        <v>0</v>
      </c>
      <c r="BE495" s="33">
        <v>0</v>
      </c>
      <c r="BF495" s="33">
        <f>495</f>
        <v>495</v>
      </c>
      <c r="BH495" s="16">
        <f>G495*AO495</f>
        <v>0</v>
      </c>
      <c r="BI495" s="16">
        <f>G495*AP495</f>
        <v>0</v>
      </c>
      <c r="BJ495" s="16">
        <f>G495*H495</f>
        <v>0</v>
      </c>
    </row>
    <row r="496" spans="3:5" ht="12.75">
      <c r="C496" s="155" t="s">
        <v>738</v>
      </c>
      <c r="D496" s="156"/>
      <c r="E496" s="156"/>
    </row>
    <row r="497" spans="3:7" ht="10.5" customHeight="1">
      <c r="C497" s="153" t="s">
        <v>429</v>
      </c>
      <c r="D497" s="154"/>
      <c r="E497" s="154"/>
      <c r="G497" s="17">
        <v>1</v>
      </c>
    </row>
    <row r="498" spans="1:62" ht="12.75">
      <c r="A498" s="4" t="s">
        <v>195</v>
      </c>
      <c r="B498" s="4" t="s">
        <v>370</v>
      </c>
      <c r="C498" s="151" t="s">
        <v>739</v>
      </c>
      <c r="D498" s="152"/>
      <c r="E498" s="152"/>
      <c r="F498" s="4" t="s">
        <v>752</v>
      </c>
      <c r="G498" s="16">
        <v>1</v>
      </c>
      <c r="H498" s="16">
        <v>0</v>
      </c>
      <c r="I498" s="16">
        <f>G498*AO498</f>
        <v>0</v>
      </c>
      <c r="J498" s="16">
        <f>G498*AP498</f>
        <v>0</v>
      </c>
      <c r="K498" s="16">
        <f>G498*H498</f>
        <v>0</v>
      </c>
      <c r="L498" s="28"/>
      <c r="Z498" s="33">
        <f>IF(AQ498="5",BJ498,0)</f>
        <v>0</v>
      </c>
      <c r="AB498" s="33">
        <f>IF(AQ498="1",BH498,0)</f>
        <v>0</v>
      </c>
      <c r="AC498" s="33">
        <f>IF(AQ498="1",BI498,0)</f>
        <v>0</v>
      </c>
      <c r="AD498" s="33">
        <f>IF(AQ498="7",BH498,0)</f>
        <v>0</v>
      </c>
      <c r="AE498" s="33">
        <f>IF(AQ498="7",BI498,0)</f>
        <v>0</v>
      </c>
      <c r="AF498" s="33">
        <f>IF(AQ498="2",BH498,0)</f>
        <v>0</v>
      </c>
      <c r="AG498" s="33">
        <f>IF(AQ498="2",BI498,0)</f>
        <v>0</v>
      </c>
      <c r="AH498" s="33">
        <f>IF(AQ498="0",BJ498,0)</f>
        <v>0</v>
      </c>
      <c r="AI498" s="29"/>
      <c r="AJ498" s="16">
        <f>IF(AN498=0,K498,0)</f>
        <v>0</v>
      </c>
      <c r="AK498" s="16">
        <f>IF(AN498=15,K498,0)</f>
        <v>0</v>
      </c>
      <c r="AL498" s="16">
        <f>IF(AN498=21,K498,0)</f>
        <v>0</v>
      </c>
      <c r="AN498" s="33">
        <v>15</v>
      </c>
      <c r="AO498" s="33">
        <f>H498*0</f>
        <v>0</v>
      </c>
      <c r="AP498" s="33">
        <f>H498*(1-0)</f>
        <v>0</v>
      </c>
      <c r="AQ498" s="28" t="s">
        <v>7</v>
      </c>
      <c r="AV498" s="33">
        <f>AW498+AX498</f>
        <v>0</v>
      </c>
      <c r="AW498" s="33">
        <f>G498*AO498</f>
        <v>0</v>
      </c>
      <c r="AX498" s="33">
        <f>G498*AP498</f>
        <v>0</v>
      </c>
      <c r="AY498" s="34" t="s">
        <v>810</v>
      </c>
      <c r="AZ498" s="34" t="s">
        <v>819</v>
      </c>
      <c r="BA498" s="29" t="s">
        <v>820</v>
      </c>
      <c r="BC498" s="33">
        <f>AW498+AX498</f>
        <v>0</v>
      </c>
      <c r="BD498" s="33">
        <f>H498/(100-BE498)*100</f>
        <v>0</v>
      </c>
      <c r="BE498" s="33">
        <v>0</v>
      </c>
      <c r="BF498" s="33">
        <f>498</f>
        <v>498</v>
      </c>
      <c r="BH498" s="16">
        <f>G498*AO498</f>
        <v>0</v>
      </c>
      <c r="BI498" s="16">
        <f>G498*AP498</f>
        <v>0</v>
      </c>
      <c r="BJ498" s="16">
        <f>G498*H498</f>
        <v>0</v>
      </c>
    </row>
    <row r="499" spans="3:5" ht="12.75">
      <c r="C499" s="155" t="s">
        <v>740</v>
      </c>
      <c r="D499" s="156"/>
      <c r="E499" s="156"/>
    </row>
    <row r="500" spans="1:12" ht="10.5" customHeight="1">
      <c r="A500" s="7"/>
      <c r="B500" s="7"/>
      <c r="C500" s="168" t="s">
        <v>429</v>
      </c>
      <c r="D500" s="169"/>
      <c r="E500" s="169"/>
      <c r="F500" s="7"/>
      <c r="G500" s="19">
        <v>1</v>
      </c>
      <c r="H500" s="7"/>
      <c r="I500" s="7"/>
      <c r="J500" s="7"/>
      <c r="K500" s="7"/>
      <c r="L500" s="7"/>
    </row>
    <row r="501" spans="1:12" ht="12.75">
      <c r="A501" s="8"/>
      <c r="B501" s="8"/>
      <c r="C501" s="8"/>
      <c r="D501" s="8"/>
      <c r="E501" s="8"/>
      <c r="F501" s="8"/>
      <c r="G501" s="8"/>
      <c r="H501" s="8"/>
      <c r="I501" s="167" t="s">
        <v>770</v>
      </c>
      <c r="J501" s="125"/>
      <c r="K501" s="37">
        <f>K12+K27+K32+K52+K64+K68+K71+K74+K77+K105+K109+K181+K186+K215+K236+K261+K274+K299+K302+K316+K360+K389+K394+K406+K488</f>
        <v>0</v>
      </c>
      <c r="L501" s="8"/>
    </row>
    <row r="502" ht="10.5" customHeight="1">
      <c r="A502" s="9" t="s">
        <v>196</v>
      </c>
    </row>
    <row r="503" spans="1:12" ht="63.75" customHeight="1">
      <c r="A503" s="90" t="s">
        <v>197</v>
      </c>
      <c r="B503" s="91"/>
      <c r="C503" s="91"/>
      <c r="D503" s="91"/>
      <c r="E503" s="91"/>
      <c r="F503" s="91"/>
      <c r="G503" s="91"/>
      <c r="H503" s="91"/>
      <c r="I503" s="91"/>
      <c r="J503" s="91"/>
      <c r="K503" s="91"/>
      <c r="L503" s="91"/>
    </row>
  </sheetData>
  <sheetProtection/>
  <mergeCells count="519">
    <mergeCell ref="I501:J501"/>
    <mergeCell ref="A503:L503"/>
    <mergeCell ref="C495:E495"/>
    <mergeCell ref="C496:E496"/>
    <mergeCell ref="C497:E497"/>
    <mergeCell ref="C498:E498"/>
    <mergeCell ref="C499:E499"/>
    <mergeCell ref="C500:E500"/>
    <mergeCell ref="C489:E489"/>
    <mergeCell ref="C490:E490"/>
    <mergeCell ref="C491:E491"/>
    <mergeCell ref="C492:E492"/>
    <mergeCell ref="C493:E493"/>
    <mergeCell ref="C494:E494"/>
    <mergeCell ref="C483:E483"/>
    <mergeCell ref="C484:E484"/>
    <mergeCell ref="C485:E485"/>
    <mergeCell ref="C486:E486"/>
    <mergeCell ref="C487:E487"/>
    <mergeCell ref="C488:E488"/>
    <mergeCell ref="C477:E477"/>
    <mergeCell ref="C478:E478"/>
    <mergeCell ref="C479:E479"/>
    <mergeCell ref="C480:E480"/>
    <mergeCell ref="C481:E481"/>
    <mergeCell ref="C482:E482"/>
    <mergeCell ref="C471:E471"/>
    <mergeCell ref="C472:E472"/>
    <mergeCell ref="C473:E473"/>
    <mergeCell ref="C474:E474"/>
    <mergeCell ref="C475:E475"/>
    <mergeCell ref="C476:E476"/>
    <mergeCell ref="C465:E465"/>
    <mergeCell ref="C466:E466"/>
    <mergeCell ref="C467:E467"/>
    <mergeCell ref="C468:E468"/>
    <mergeCell ref="C469:E469"/>
    <mergeCell ref="C470:E470"/>
    <mergeCell ref="C459:E459"/>
    <mergeCell ref="C460:E460"/>
    <mergeCell ref="C461:E461"/>
    <mergeCell ref="C462:E462"/>
    <mergeCell ref="C463:E463"/>
    <mergeCell ref="C464:E464"/>
    <mergeCell ref="C453:E453"/>
    <mergeCell ref="C454:E454"/>
    <mergeCell ref="C455:E455"/>
    <mergeCell ref="C456:E456"/>
    <mergeCell ref="C457:E457"/>
    <mergeCell ref="C458:E458"/>
    <mergeCell ref="C447:E447"/>
    <mergeCell ref="C448:E448"/>
    <mergeCell ref="C449:E449"/>
    <mergeCell ref="C450:E450"/>
    <mergeCell ref="C451:E451"/>
    <mergeCell ref="C452:E452"/>
    <mergeCell ref="C441:E441"/>
    <mergeCell ref="C442:E442"/>
    <mergeCell ref="C443:E443"/>
    <mergeCell ref="C444:E444"/>
    <mergeCell ref="C445:E445"/>
    <mergeCell ref="C446:E446"/>
    <mergeCell ref="C435:E435"/>
    <mergeCell ref="C436:E436"/>
    <mergeCell ref="C437:E437"/>
    <mergeCell ref="C438:E438"/>
    <mergeCell ref="C439:E439"/>
    <mergeCell ref="C440:E440"/>
    <mergeCell ref="C429:E429"/>
    <mergeCell ref="C430:E430"/>
    <mergeCell ref="C431:E431"/>
    <mergeCell ref="C432:E432"/>
    <mergeCell ref="C433:E433"/>
    <mergeCell ref="C434:E434"/>
    <mergeCell ref="C423:E423"/>
    <mergeCell ref="C424:E424"/>
    <mergeCell ref="C425:E425"/>
    <mergeCell ref="C426:E426"/>
    <mergeCell ref="C427:E427"/>
    <mergeCell ref="C428:E428"/>
    <mergeCell ref="C417:E417"/>
    <mergeCell ref="C418:E418"/>
    <mergeCell ref="C419:E419"/>
    <mergeCell ref="C420:E420"/>
    <mergeCell ref="C421:E421"/>
    <mergeCell ref="C422:E422"/>
    <mergeCell ref="C411:E411"/>
    <mergeCell ref="C412:E412"/>
    <mergeCell ref="C413:E413"/>
    <mergeCell ref="C414:E414"/>
    <mergeCell ref="C415:E415"/>
    <mergeCell ref="C416:E416"/>
    <mergeCell ref="C405:E405"/>
    <mergeCell ref="C406:E406"/>
    <mergeCell ref="C407:E407"/>
    <mergeCell ref="C408:E408"/>
    <mergeCell ref="C409:E409"/>
    <mergeCell ref="C410:E410"/>
    <mergeCell ref="C399:E399"/>
    <mergeCell ref="C400:E400"/>
    <mergeCell ref="C401:E401"/>
    <mergeCell ref="C402:E402"/>
    <mergeCell ref="C403:E403"/>
    <mergeCell ref="C404:E404"/>
    <mergeCell ref="C393:E393"/>
    <mergeCell ref="C394:E394"/>
    <mergeCell ref="C395:E395"/>
    <mergeCell ref="C396:E396"/>
    <mergeCell ref="C397:E397"/>
    <mergeCell ref="C398:E398"/>
    <mergeCell ref="C387:E387"/>
    <mergeCell ref="C388:E388"/>
    <mergeCell ref="C389:E389"/>
    <mergeCell ref="C390:E390"/>
    <mergeCell ref="C391:E391"/>
    <mergeCell ref="C392:E392"/>
    <mergeCell ref="C381:E381"/>
    <mergeCell ref="C382:E382"/>
    <mergeCell ref="C383:E383"/>
    <mergeCell ref="C384:E384"/>
    <mergeCell ref="C385:E385"/>
    <mergeCell ref="C386:E386"/>
    <mergeCell ref="C375:E375"/>
    <mergeCell ref="C376:E376"/>
    <mergeCell ref="C377:E377"/>
    <mergeCell ref="C378:E378"/>
    <mergeCell ref="C379:E379"/>
    <mergeCell ref="C380:E380"/>
    <mergeCell ref="C369:E369"/>
    <mergeCell ref="C370:E370"/>
    <mergeCell ref="C371:E371"/>
    <mergeCell ref="C372:E372"/>
    <mergeCell ref="C373:E373"/>
    <mergeCell ref="C374:E374"/>
    <mergeCell ref="C363:E363"/>
    <mergeCell ref="C364:E364"/>
    <mergeCell ref="C365:E365"/>
    <mergeCell ref="C366:E366"/>
    <mergeCell ref="C367:E367"/>
    <mergeCell ref="C368:E368"/>
    <mergeCell ref="C357:E357"/>
    <mergeCell ref="C358:E358"/>
    <mergeCell ref="C359:E359"/>
    <mergeCell ref="C360:E360"/>
    <mergeCell ref="C361:E361"/>
    <mergeCell ref="C362:E362"/>
    <mergeCell ref="C351:E351"/>
    <mergeCell ref="C352:E352"/>
    <mergeCell ref="C353:E353"/>
    <mergeCell ref="C354:E354"/>
    <mergeCell ref="C355:E355"/>
    <mergeCell ref="C356:E356"/>
    <mergeCell ref="C345:E345"/>
    <mergeCell ref="C346:E346"/>
    <mergeCell ref="C347:E347"/>
    <mergeCell ref="C348:E348"/>
    <mergeCell ref="C349:E349"/>
    <mergeCell ref="C350:E350"/>
    <mergeCell ref="C339:E339"/>
    <mergeCell ref="C340:E340"/>
    <mergeCell ref="C341:E341"/>
    <mergeCell ref="C342:E342"/>
    <mergeCell ref="C343:E343"/>
    <mergeCell ref="C344:E344"/>
    <mergeCell ref="C333:E333"/>
    <mergeCell ref="C334:E334"/>
    <mergeCell ref="C335:E335"/>
    <mergeCell ref="C336:E336"/>
    <mergeCell ref="C337:E337"/>
    <mergeCell ref="C338:E338"/>
    <mergeCell ref="C327:E327"/>
    <mergeCell ref="C328:E328"/>
    <mergeCell ref="C329:E329"/>
    <mergeCell ref="C330:E330"/>
    <mergeCell ref="C331:E331"/>
    <mergeCell ref="C332:E332"/>
    <mergeCell ref="C321:E321"/>
    <mergeCell ref="C322:E322"/>
    <mergeCell ref="C323:E323"/>
    <mergeCell ref="C324:E324"/>
    <mergeCell ref="C325:E325"/>
    <mergeCell ref="C326:E326"/>
    <mergeCell ref="C315:E315"/>
    <mergeCell ref="C316:E316"/>
    <mergeCell ref="C317:E317"/>
    <mergeCell ref="C318:E318"/>
    <mergeCell ref="C319:E319"/>
    <mergeCell ref="C320:E320"/>
    <mergeCell ref="C309:E309"/>
    <mergeCell ref="C310:E310"/>
    <mergeCell ref="C311:E311"/>
    <mergeCell ref="C312:E312"/>
    <mergeCell ref="C313:E313"/>
    <mergeCell ref="C314:E314"/>
    <mergeCell ref="C303:E303"/>
    <mergeCell ref="C304:E304"/>
    <mergeCell ref="C305:E305"/>
    <mergeCell ref="C306:E306"/>
    <mergeCell ref="C307:E307"/>
    <mergeCell ref="C308:E308"/>
    <mergeCell ref="C297:E297"/>
    <mergeCell ref="C298:E298"/>
    <mergeCell ref="C299:E299"/>
    <mergeCell ref="C300:E300"/>
    <mergeCell ref="C301:E301"/>
    <mergeCell ref="C302:E302"/>
    <mergeCell ref="C291:E291"/>
    <mergeCell ref="C292:E292"/>
    <mergeCell ref="C293:E293"/>
    <mergeCell ref="C294:E294"/>
    <mergeCell ref="C295:E295"/>
    <mergeCell ref="C296:E296"/>
    <mergeCell ref="C285:E285"/>
    <mergeCell ref="C286:E286"/>
    <mergeCell ref="C287:E287"/>
    <mergeCell ref="C288:E288"/>
    <mergeCell ref="C289:E289"/>
    <mergeCell ref="C290:E290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M106"/>
  <sheetViews>
    <sheetView tabSelected="1" zoomScalePageLayoutView="0" workbookViewId="0" topLeftCell="A63">
      <selection activeCell="B106" sqref="B106"/>
    </sheetView>
  </sheetViews>
  <sheetFormatPr defaultColWidth="8.8515625" defaultRowHeight="12.75"/>
  <cols>
    <col min="1" max="1" width="1.28515625" style="71" customWidth="1"/>
    <col min="2" max="2" width="16.57421875" style="71" customWidth="1"/>
    <col min="3" max="3" width="1.7109375" style="71" customWidth="1"/>
    <col min="4" max="4" width="17.28125" style="71" customWidth="1"/>
    <col min="5" max="8" width="12.140625" style="71" customWidth="1"/>
    <col min="9" max="9" width="0.9921875" style="71" customWidth="1"/>
    <col min="10" max="10" width="11.421875" style="72" bestFit="1" customWidth="1"/>
    <col min="11" max="11" width="14.57421875" style="72" customWidth="1"/>
    <col min="12" max="12" width="16.421875" style="72" customWidth="1"/>
    <col min="13" max="16384" width="8.8515625" style="71" customWidth="1"/>
  </cols>
  <sheetData>
    <row r="1" spans="2:8" ht="12.75">
      <c r="B1" s="180"/>
      <c r="C1" s="180"/>
      <c r="D1" s="180"/>
      <c r="E1" s="180"/>
      <c r="F1" s="180"/>
      <c r="G1" s="180"/>
      <c r="H1" s="180"/>
    </row>
    <row r="2" spans="2:8" ht="12.75">
      <c r="B2" s="180"/>
      <c r="C2" s="180"/>
      <c r="D2" s="180"/>
      <c r="E2" s="180"/>
      <c r="F2" s="180"/>
      <c r="G2" s="180"/>
      <c r="H2" s="180"/>
    </row>
    <row r="3" spans="2:8" ht="12.75">
      <c r="B3" s="180"/>
      <c r="C3" s="180"/>
      <c r="D3" s="180"/>
      <c r="E3" s="180"/>
      <c r="F3" s="180"/>
      <c r="G3" s="180"/>
      <c r="H3" s="180"/>
    </row>
    <row r="4" spans="2:8" ht="12.75">
      <c r="B4" s="180"/>
      <c r="C4" s="180"/>
      <c r="D4" s="180"/>
      <c r="E4" s="180"/>
      <c r="F4" s="180"/>
      <c r="G4" s="180"/>
      <c r="H4" s="180"/>
    </row>
    <row r="5" spans="2:8" ht="13.5" thickBot="1">
      <c r="B5" s="174"/>
      <c r="C5" s="174"/>
      <c r="D5" s="174"/>
      <c r="E5" s="174"/>
      <c r="F5" s="174"/>
      <c r="G5" s="174"/>
      <c r="H5" s="174"/>
    </row>
    <row r="6" spans="2:8" ht="18.75" customHeight="1">
      <c r="B6" s="181"/>
      <c r="C6" s="181"/>
      <c r="D6" s="181"/>
      <c r="E6" s="181"/>
      <c r="F6" s="181"/>
      <c r="G6" s="181"/>
      <c r="H6" s="181"/>
    </row>
    <row r="7" spans="2:8" ht="18.75" customHeight="1">
      <c r="B7" s="182" t="s">
        <v>876</v>
      </c>
      <c r="C7" s="182"/>
      <c r="D7" s="182"/>
      <c r="E7" s="182"/>
      <c r="F7" s="182"/>
      <c r="G7" s="182"/>
      <c r="H7" s="182"/>
    </row>
    <row r="8" spans="2:8" ht="19.5" thickBot="1">
      <c r="B8" s="183"/>
      <c r="C8" s="183"/>
      <c r="D8" s="183"/>
      <c r="E8" s="183"/>
      <c r="F8" s="183"/>
      <c r="G8" s="183"/>
      <c r="H8" s="183"/>
    </row>
    <row r="9" spans="2:8" ht="15.75">
      <c r="B9" s="73"/>
      <c r="C9" s="74"/>
      <c r="D9" s="175"/>
      <c r="E9" s="175"/>
      <c r="F9" s="73"/>
      <c r="G9" s="175"/>
      <c r="H9" s="175"/>
    </row>
    <row r="10" spans="2:8" ht="15.75">
      <c r="B10" s="73"/>
      <c r="C10" s="74"/>
      <c r="D10" s="170"/>
      <c r="E10" s="170"/>
      <c r="F10" s="73"/>
      <c r="G10" s="170"/>
      <c r="H10" s="170"/>
    </row>
    <row r="11" spans="2:8" ht="15.75">
      <c r="B11" s="73"/>
      <c r="C11" s="74"/>
      <c r="D11" s="170"/>
      <c r="E11" s="170"/>
      <c r="F11" s="73"/>
      <c r="G11" s="170"/>
      <c r="H11" s="170"/>
    </row>
    <row r="12" spans="2:8" ht="15.75" customHeight="1">
      <c r="B12" s="73" t="s">
        <v>877</v>
      </c>
      <c r="C12" s="170" t="s">
        <v>878</v>
      </c>
      <c r="D12" s="170"/>
      <c r="E12" s="170"/>
      <c r="F12" s="170"/>
      <c r="G12" s="170"/>
      <c r="H12" s="170"/>
    </row>
    <row r="13" spans="2:8" ht="15.75">
      <c r="B13" s="73" t="s">
        <v>879</v>
      </c>
      <c r="C13" s="170" t="s">
        <v>880</v>
      </c>
      <c r="D13" s="170"/>
      <c r="E13" s="170"/>
      <c r="F13" s="170"/>
      <c r="G13" s="170"/>
      <c r="H13" s="170"/>
    </row>
    <row r="14" spans="2:8" ht="15.75">
      <c r="B14" s="73"/>
      <c r="C14" s="170"/>
      <c r="D14" s="170"/>
      <c r="E14" s="170"/>
      <c r="F14" s="170"/>
      <c r="G14" s="170"/>
      <c r="H14" s="170"/>
    </row>
    <row r="15" spans="2:8" ht="15.75" customHeight="1">
      <c r="B15" s="73" t="s">
        <v>881</v>
      </c>
      <c r="C15" s="170" t="s">
        <v>882</v>
      </c>
      <c r="D15" s="170"/>
      <c r="E15" s="170"/>
      <c r="F15" s="170"/>
      <c r="G15" s="170"/>
      <c r="H15" s="170"/>
    </row>
    <row r="16" spans="2:8" ht="15.75" customHeight="1">
      <c r="B16" s="73" t="s">
        <v>872</v>
      </c>
      <c r="C16" s="178" t="s">
        <v>883</v>
      </c>
      <c r="D16" s="179"/>
      <c r="E16" s="179"/>
      <c r="F16" s="179"/>
      <c r="G16" s="179"/>
      <c r="H16" s="179"/>
    </row>
    <row r="17" spans="2:8" ht="15.75">
      <c r="B17" s="73"/>
      <c r="C17" s="170"/>
      <c r="D17" s="170"/>
      <c r="E17" s="170"/>
      <c r="F17" s="170"/>
      <c r="G17" s="170"/>
      <c r="H17" s="170"/>
    </row>
    <row r="18" spans="2:8" ht="15.75">
      <c r="B18" s="170"/>
      <c r="C18" s="170"/>
      <c r="D18" s="170"/>
      <c r="E18" s="170"/>
      <c r="F18" s="170"/>
      <c r="G18" s="170"/>
      <c r="H18" s="170"/>
    </row>
    <row r="19" spans="2:8" ht="16.5" thickBot="1">
      <c r="B19" s="75" t="s">
        <v>884</v>
      </c>
      <c r="C19" s="75"/>
      <c r="D19" s="75"/>
      <c r="E19" s="74"/>
      <c r="F19" s="174" t="s">
        <v>885</v>
      </c>
      <c r="G19" s="174"/>
      <c r="H19" s="174"/>
    </row>
    <row r="20" spans="2:8" ht="15.75" customHeight="1">
      <c r="B20" s="177" t="s">
        <v>886</v>
      </c>
      <c r="C20" s="177"/>
      <c r="D20" s="177"/>
      <c r="E20" s="74"/>
      <c r="F20" s="175" t="s">
        <v>887</v>
      </c>
      <c r="G20" s="175"/>
      <c r="H20" s="175"/>
    </row>
    <row r="21" spans="2:8" ht="15.75" customHeight="1">
      <c r="B21" s="176" t="s">
        <v>888</v>
      </c>
      <c r="C21" s="176"/>
      <c r="D21" s="176"/>
      <c r="E21" s="74"/>
      <c r="F21" s="170" t="s">
        <v>889</v>
      </c>
      <c r="G21" s="170"/>
      <c r="H21" s="170"/>
    </row>
    <row r="22" spans="2:8" ht="15.75" customHeight="1">
      <c r="B22" s="176" t="s">
        <v>890</v>
      </c>
      <c r="C22" s="176"/>
      <c r="D22" s="176"/>
      <c r="E22" s="74"/>
      <c r="F22" s="170" t="s">
        <v>891</v>
      </c>
      <c r="G22" s="170"/>
      <c r="H22" s="170"/>
    </row>
    <row r="23" spans="2:8" ht="15.75" customHeight="1">
      <c r="B23" s="176"/>
      <c r="C23" s="176"/>
      <c r="D23" s="176"/>
      <c r="E23" s="74"/>
      <c r="F23" s="170" t="s">
        <v>892</v>
      </c>
      <c r="G23" s="170"/>
      <c r="H23" s="170"/>
    </row>
    <row r="24" spans="2:8" ht="15.75" customHeight="1">
      <c r="B24" s="176"/>
      <c r="C24" s="176"/>
      <c r="D24" s="176"/>
      <c r="E24" s="74"/>
      <c r="F24" s="170" t="s">
        <v>893</v>
      </c>
      <c r="G24" s="170"/>
      <c r="H24" s="170"/>
    </row>
    <row r="25" spans="2:8" ht="15.75">
      <c r="B25" s="74"/>
      <c r="C25" s="170"/>
      <c r="D25" s="170"/>
      <c r="E25" s="74"/>
      <c r="F25" s="170"/>
      <c r="G25" s="170"/>
      <c r="H25" s="74"/>
    </row>
    <row r="26" spans="2:8" ht="15.75">
      <c r="B26" s="74"/>
      <c r="C26" s="170"/>
      <c r="D26" s="170"/>
      <c r="E26" s="74"/>
      <c r="F26" s="170"/>
      <c r="G26" s="170"/>
      <c r="H26" s="74"/>
    </row>
    <row r="27" spans="2:8" ht="16.5" thickBot="1">
      <c r="B27" s="174" t="s">
        <v>894</v>
      </c>
      <c r="C27" s="174"/>
      <c r="D27" s="174"/>
      <c r="E27" s="74"/>
      <c r="F27" s="170"/>
      <c r="G27" s="170"/>
      <c r="H27" s="74"/>
    </row>
    <row r="28" spans="2:8" ht="15.75" customHeight="1">
      <c r="B28" s="175" t="s">
        <v>895</v>
      </c>
      <c r="C28" s="175"/>
      <c r="D28" s="175"/>
      <c r="E28" s="74"/>
      <c r="F28" s="170"/>
      <c r="G28" s="170"/>
      <c r="H28" s="74"/>
    </row>
    <row r="29" spans="2:8" ht="15.75" customHeight="1">
      <c r="B29" s="170" t="s">
        <v>896</v>
      </c>
      <c r="C29" s="170"/>
      <c r="D29" s="170"/>
      <c r="E29" s="74"/>
      <c r="F29" s="170"/>
      <c r="G29" s="170"/>
      <c r="H29" s="74"/>
    </row>
    <row r="30" spans="2:8" ht="15.75" customHeight="1">
      <c r="B30" s="170" t="s">
        <v>897</v>
      </c>
      <c r="C30" s="170"/>
      <c r="D30" s="170"/>
      <c r="E30" s="74"/>
      <c r="F30" s="170"/>
      <c r="G30" s="170"/>
      <c r="H30" s="74"/>
    </row>
    <row r="31" spans="2:8" ht="15.75" customHeight="1">
      <c r="B31" s="170" t="s">
        <v>898</v>
      </c>
      <c r="C31" s="170"/>
      <c r="D31" s="170"/>
      <c r="E31" s="74"/>
      <c r="F31" s="170"/>
      <c r="G31" s="170"/>
      <c r="H31" s="74"/>
    </row>
    <row r="32" spans="2:8" ht="15.75">
      <c r="B32" s="170"/>
      <c r="C32" s="170"/>
      <c r="D32" s="170"/>
      <c r="E32" s="74"/>
      <c r="F32" s="170"/>
      <c r="G32" s="170"/>
      <c r="H32" s="74"/>
    </row>
    <row r="49" spans="2:13" ht="15">
      <c r="B49" s="76" t="s">
        <v>899</v>
      </c>
      <c r="C49" s="77"/>
      <c r="D49" s="77"/>
      <c r="E49" s="77"/>
      <c r="F49" s="77"/>
      <c r="G49" s="77" t="s">
        <v>900</v>
      </c>
      <c r="H49" s="78" t="s">
        <v>901</v>
      </c>
      <c r="K49" s="72" t="s">
        <v>902</v>
      </c>
      <c r="L49" s="72" t="s">
        <v>903</v>
      </c>
      <c r="M49" s="79">
        <v>0.15</v>
      </c>
    </row>
    <row r="50" spans="2:12" ht="15">
      <c r="B50" s="171" t="s">
        <v>904</v>
      </c>
      <c r="C50" s="172"/>
      <c r="D50" s="172"/>
      <c r="E50" s="172"/>
      <c r="F50" s="172"/>
      <c r="G50" s="172"/>
      <c r="H50" s="173"/>
      <c r="J50" s="80"/>
      <c r="K50" s="80"/>
      <c r="L50" s="80"/>
    </row>
    <row r="51" spans="2:12" ht="15">
      <c r="B51" s="76" t="s">
        <v>905</v>
      </c>
      <c r="C51" s="81"/>
      <c r="D51" s="81"/>
      <c r="E51" s="81"/>
      <c r="F51" s="81"/>
      <c r="G51" s="81"/>
      <c r="H51" s="82"/>
      <c r="J51" s="80"/>
      <c r="K51" s="80"/>
      <c r="L51" s="80"/>
    </row>
    <row r="52" spans="2:12" ht="12.75">
      <c r="B52" s="83" t="s">
        <v>906</v>
      </c>
      <c r="C52" s="81"/>
      <c r="D52" s="81"/>
      <c r="E52" s="81"/>
      <c r="F52" s="81"/>
      <c r="G52" s="81">
        <v>1</v>
      </c>
      <c r="H52" s="82" t="s">
        <v>907</v>
      </c>
      <c r="J52" s="80"/>
      <c r="K52" s="80">
        <f aca="true" t="shared" si="0" ref="K52:K105">J52*G52</f>
        <v>0</v>
      </c>
      <c r="L52" s="80">
        <f aca="true" t="shared" si="1" ref="L52:L106">K52*(1+$M$49)</f>
        <v>0</v>
      </c>
    </row>
    <row r="53" spans="2:12" ht="12.75">
      <c r="B53" s="83" t="s">
        <v>908</v>
      </c>
      <c r="C53" s="81"/>
      <c r="D53" s="81"/>
      <c r="E53" s="81"/>
      <c r="F53" s="81"/>
      <c r="G53" s="81">
        <v>1</v>
      </c>
      <c r="H53" s="82" t="s">
        <v>907</v>
      </c>
      <c r="J53" s="80"/>
      <c r="K53" s="80">
        <f t="shared" si="0"/>
        <v>0</v>
      </c>
      <c r="L53" s="80">
        <f t="shared" si="1"/>
        <v>0</v>
      </c>
    </row>
    <row r="54" spans="2:12" ht="12.75">
      <c r="B54" s="83" t="s">
        <v>909</v>
      </c>
      <c r="C54" s="81"/>
      <c r="D54" s="81"/>
      <c r="E54" s="81"/>
      <c r="F54" s="81"/>
      <c r="G54" s="81">
        <v>1</v>
      </c>
      <c r="H54" s="82" t="s">
        <v>907</v>
      </c>
      <c r="J54" s="80"/>
      <c r="K54" s="80">
        <f t="shared" si="0"/>
        <v>0</v>
      </c>
      <c r="L54" s="80">
        <f t="shared" si="1"/>
        <v>0</v>
      </c>
    </row>
    <row r="55" spans="2:12" ht="12.75">
      <c r="B55" s="83" t="s">
        <v>910</v>
      </c>
      <c r="C55" s="81"/>
      <c r="D55" s="81"/>
      <c r="E55" s="81"/>
      <c r="F55" s="81"/>
      <c r="G55" s="81">
        <v>2</v>
      </c>
      <c r="H55" s="82" t="s">
        <v>907</v>
      </c>
      <c r="J55" s="84"/>
      <c r="K55" s="80">
        <f t="shared" si="0"/>
        <v>0</v>
      </c>
      <c r="L55" s="80">
        <f t="shared" si="1"/>
        <v>0</v>
      </c>
    </row>
    <row r="56" spans="2:12" ht="12.75">
      <c r="B56" s="83" t="s">
        <v>911</v>
      </c>
      <c r="C56" s="81"/>
      <c r="D56" s="81"/>
      <c r="E56" s="81"/>
      <c r="F56" s="81"/>
      <c r="G56" s="81">
        <v>5</v>
      </c>
      <c r="H56" s="82" t="s">
        <v>907</v>
      </c>
      <c r="J56" s="84"/>
      <c r="K56" s="80">
        <f t="shared" si="0"/>
        <v>0</v>
      </c>
      <c r="L56" s="80">
        <f t="shared" si="1"/>
        <v>0</v>
      </c>
    </row>
    <row r="57" spans="2:12" ht="12.75">
      <c r="B57" s="83" t="s">
        <v>912</v>
      </c>
      <c r="C57" s="81"/>
      <c r="D57" s="81"/>
      <c r="E57" s="81"/>
      <c r="F57" s="81"/>
      <c r="G57" s="81">
        <v>4</v>
      </c>
      <c r="H57" s="82" t="s">
        <v>907</v>
      </c>
      <c r="J57" s="80"/>
      <c r="K57" s="80">
        <f t="shared" si="0"/>
        <v>0</v>
      </c>
      <c r="L57" s="80">
        <f t="shared" si="1"/>
        <v>0</v>
      </c>
    </row>
    <row r="58" spans="2:12" ht="12.75">
      <c r="B58" s="83" t="s">
        <v>913</v>
      </c>
      <c r="C58" s="81"/>
      <c r="D58" s="81"/>
      <c r="E58" s="81"/>
      <c r="F58" s="81"/>
      <c r="G58" s="85">
        <v>1</v>
      </c>
      <c r="H58" s="86" t="s">
        <v>907</v>
      </c>
      <c r="J58" s="80"/>
      <c r="K58" s="80">
        <f t="shared" si="0"/>
        <v>0</v>
      </c>
      <c r="L58" s="80">
        <f t="shared" si="1"/>
        <v>0</v>
      </c>
    </row>
    <row r="59" spans="2:12" ht="12.75">
      <c r="B59" s="83" t="s">
        <v>914</v>
      </c>
      <c r="C59" s="81"/>
      <c r="D59" s="81"/>
      <c r="E59" s="81"/>
      <c r="F59" s="81"/>
      <c r="G59" s="81">
        <v>1</v>
      </c>
      <c r="H59" s="82" t="s">
        <v>756</v>
      </c>
      <c r="J59" s="80"/>
      <c r="K59" s="80">
        <f t="shared" si="0"/>
        <v>0</v>
      </c>
      <c r="L59" s="80">
        <f t="shared" si="1"/>
        <v>0</v>
      </c>
    </row>
    <row r="60" spans="2:12" ht="12.75">
      <c r="B60" s="83" t="s">
        <v>915</v>
      </c>
      <c r="C60" s="81"/>
      <c r="D60" s="81"/>
      <c r="E60" s="81"/>
      <c r="F60" s="81"/>
      <c r="G60" s="81">
        <v>24</v>
      </c>
      <c r="H60" s="82" t="s">
        <v>754</v>
      </c>
      <c r="J60" s="84"/>
      <c r="K60" s="80">
        <f t="shared" si="0"/>
        <v>0</v>
      </c>
      <c r="L60" s="80">
        <f t="shared" si="1"/>
        <v>0</v>
      </c>
    </row>
    <row r="61" spans="2:12" ht="12.75">
      <c r="B61" s="83"/>
      <c r="C61" s="81"/>
      <c r="D61" s="81"/>
      <c r="E61" s="81"/>
      <c r="F61" s="81"/>
      <c r="G61" s="81"/>
      <c r="H61" s="82"/>
      <c r="J61" s="80"/>
      <c r="K61" s="80"/>
      <c r="L61" s="80"/>
    </row>
    <row r="62" spans="2:12" ht="15">
      <c r="B62" s="76" t="s">
        <v>916</v>
      </c>
      <c r="C62" s="81"/>
      <c r="D62" s="81"/>
      <c r="E62" s="81"/>
      <c r="F62" s="81"/>
      <c r="G62" s="81">
        <v>1</v>
      </c>
      <c r="H62" s="82" t="s">
        <v>907</v>
      </c>
      <c r="J62" s="84"/>
      <c r="K62" s="80">
        <f t="shared" si="0"/>
        <v>0</v>
      </c>
      <c r="L62" s="80">
        <f t="shared" si="1"/>
        <v>0</v>
      </c>
    </row>
    <row r="63" spans="2:12" ht="12.75">
      <c r="B63" s="83"/>
      <c r="C63" s="81"/>
      <c r="D63" s="81"/>
      <c r="E63" s="81"/>
      <c r="F63" s="81"/>
      <c r="G63" s="81"/>
      <c r="H63" s="82"/>
      <c r="J63" s="80"/>
      <c r="K63" s="80"/>
      <c r="L63" s="80"/>
    </row>
    <row r="64" spans="2:12" ht="15">
      <c r="B64" s="76" t="s">
        <v>917</v>
      </c>
      <c r="C64" s="81"/>
      <c r="D64" s="81"/>
      <c r="E64" s="81"/>
      <c r="F64" s="81"/>
      <c r="G64" s="81"/>
      <c r="H64" s="82"/>
      <c r="J64" s="80"/>
      <c r="K64" s="80"/>
      <c r="L64" s="80"/>
    </row>
    <row r="65" spans="2:12" ht="12.75">
      <c r="B65" s="87" t="s">
        <v>918</v>
      </c>
      <c r="C65" s="81"/>
      <c r="D65" s="81"/>
      <c r="E65" s="81"/>
      <c r="F65" s="81"/>
      <c r="G65" s="81">
        <v>1</v>
      </c>
      <c r="H65" s="82" t="s">
        <v>907</v>
      </c>
      <c r="J65" s="80"/>
      <c r="K65" s="80">
        <f>J65*G65</f>
        <v>0</v>
      </c>
      <c r="L65" s="80">
        <f>K65*(1+$M$49)</f>
        <v>0</v>
      </c>
    </row>
    <row r="66" spans="2:12" ht="12.75">
      <c r="B66" s="83" t="s">
        <v>919</v>
      </c>
      <c r="C66" s="81"/>
      <c r="D66" s="81"/>
      <c r="E66" s="81"/>
      <c r="F66" s="81"/>
      <c r="G66" s="81">
        <v>3</v>
      </c>
      <c r="H66" s="82" t="s">
        <v>907</v>
      </c>
      <c r="J66" s="80"/>
      <c r="K66" s="80">
        <f aca="true" t="shared" si="2" ref="K66:K72">J66*G66</f>
        <v>0</v>
      </c>
      <c r="L66" s="80">
        <f aca="true" t="shared" si="3" ref="L66:L72">K66*(1+$M$49)</f>
        <v>0</v>
      </c>
    </row>
    <row r="67" spans="2:12" ht="12.75">
      <c r="B67" s="83" t="s">
        <v>920</v>
      </c>
      <c r="C67" s="81"/>
      <c r="D67" s="81"/>
      <c r="E67" s="81"/>
      <c r="F67" s="81"/>
      <c r="G67" s="81">
        <v>1</v>
      </c>
      <c r="H67" s="82" t="s">
        <v>907</v>
      </c>
      <c r="J67" s="80"/>
      <c r="K67" s="80">
        <f t="shared" si="2"/>
        <v>0</v>
      </c>
      <c r="L67" s="80">
        <f t="shared" si="3"/>
        <v>0</v>
      </c>
    </row>
    <row r="68" spans="2:12" ht="12.75">
      <c r="B68" s="83" t="s">
        <v>921</v>
      </c>
      <c r="C68" s="81"/>
      <c r="D68" s="81"/>
      <c r="E68" s="81"/>
      <c r="F68" s="81"/>
      <c r="G68" s="81">
        <v>1</v>
      </c>
      <c r="H68" s="82" t="s">
        <v>907</v>
      </c>
      <c r="J68" s="80"/>
      <c r="K68" s="80">
        <f t="shared" si="2"/>
        <v>0</v>
      </c>
      <c r="L68" s="80">
        <f t="shared" si="3"/>
        <v>0</v>
      </c>
    </row>
    <row r="69" spans="2:12" ht="12.75">
      <c r="B69" s="83" t="s">
        <v>922</v>
      </c>
      <c r="C69" s="81"/>
      <c r="D69" s="81"/>
      <c r="E69" s="81"/>
      <c r="F69" s="81"/>
      <c r="G69" s="81">
        <v>1</v>
      </c>
      <c r="H69" s="82" t="s">
        <v>907</v>
      </c>
      <c r="J69" s="80"/>
      <c r="K69" s="80">
        <f t="shared" si="2"/>
        <v>0</v>
      </c>
      <c r="L69" s="80">
        <f t="shared" si="3"/>
        <v>0</v>
      </c>
    </row>
    <row r="70" spans="2:12" ht="12.75">
      <c r="B70" s="83" t="s">
        <v>923</v>
      </c>
      <c r="C70" s="81"/>
      <c r="D70" s="81"/>
      <c r="E70" s="81"/>
      <c r="F70" s="81"/>
      <c r="G70" s="81">
        <v>1</v>
      </c>
      <c r="H70" s="82" t="s">
        <v>907</v>
      </c>
      <c r="J70" s="80"/>
      <c r="K70" s="80">
        <f t="shared" si="2"/>
        <v>0</v>
      </c>
      <c r="L70" s="80">
        <f t="shared" si="3"/>
        <v>0</v>
      </c>
    </row>
    <row r="71" spans="2:12" ht="12.75">
      <c r="B71" s="83" t="s">
        <v>924</v>
      </c>
      <c r="C71" s="81"/>
      <c r="D71" s="81"/>
      <c r="E71" s="81"/>
      <c r="F71" s="81"/>
      <c r="G71" s="81">
        <v>1</v>
      </c>
      <c r="H71" s="82" t="s">
        <v>756</v>
      </c>
      <c r="J71" s="80"/>
      <c r="K71" s="80">
        <f t="shared" si="2"/>
        <v>0</v>
      </c>
      <c r="L71" s="80">
        <f t="shared" si="3"/>
        <v>0</v>
      </c>
    </row>
    <row r="72" spans="2:12" ht="12.75">
      <c r="B72" s="83" t="s">
        <v>915</v>
      </c>
      <c r="C72" s="81"/>
      <c r="D72" s="81"/>
      <c r="E72" s="81"/>
      <c r="F72" s="81"/>
      <c r="G72" s="81">
        <v>12</v>
      </c>
      <c r="H72" s="82" t="s">
        <v>754</v>
      </c>
      <c r="J72" s="80"/>
      <c r="K72" s="80">
        <f t="shared" si="2"/>
        <v>0</v>
      </c>
      <c r="L72" s="80">
        <f t="shared" si="3"/>
        <v>0</v>
      </c>
    </row>
    <row r="73" spans="2:12" ht="12.75">
      <c r="B73" s="83"/>
      <c r="C73" s="81"/>
      <c r="D73" s="81"/>
      <c r="E73" s="81"/>
      <c r="F73" s="81"/>
      <c r="G73" s="81"/>
      <c r="H73" s="82"/>
      <c r="J73" s="80"/>
      <c r="K73" s="80"/>
      <c r="L73" s="80"/>
    </row>
    <row r="74" spans="2:12" ht="15">
      <c r="B74" s="76" t="s">
        <v>925</v>
      </c>
      <c r="C74" s="81"/>
      <c r="D74" s="81"/>
      <c r="E74" s="81"/>
      <c r="F74" s="81"/>
      <c r="G74" s="81"/>
      <c r="H74" s="82"/>
      <c r="J74" s="80"/>
      <c r="K74" s="80"/>
      <c r="L74" s="80"/>
    </row>
    <row r="75" spans="2:12" ht="12.75">
      <c r="B75" s="83" t="s">
        <v>926</v>
      </c>
      <c r="C75" s="81"/>
      <c r="D75" s="81"/>
      <c r="E75" s="81"/>
      <c r="F75" s="81"/>
      <c r="G75" s="81">
        <v>7</v>
      </c>
      <c r="H75" s="82" t="s">
        <v>907</v>
      </c>
      <c r="J75" s="80"/>
      <c r="K75" s="80">
        <f t="shared" si="0"/>
        <v>0</v>
      </c>
      <c r="L75" s="80">
        <f t="shared" si="1"/>
        <v>0</v>
      </c>
    </row>
    <row r="76" spans="2:12" ht="12.75">
      <c r="B76" s="83" t="s">
        <v>927</v>
      </c>
      <c r="C76" s="81"/>
      <c r="D76" s="81"/>
      <c r="E76" s="81"/>
      <c r="F76" s="81"/>
      <c r="G76" s="81">
        <v>2</v>
      </c>
      <c r="H76" s="82" t="s">
        <v>907</v>
      </c>
      <c r="J76" s="80"/>
      <c r="K76" s="80">
        <f t="shared" si="0"/>
        <v>0</v>
      </c>
      <c r="L76" s="80">
        <f t="shared" si="1"/>
        <v>0</v>
      </c>
    </row>
    <row r="77" spans="2:12" ht="12.75">
      <c r="B77" s="83" t="s">
        <v>928</v>
      </c>
      <c r="C77" s="81"/>
      <c r="D77" s="81"/>
      <c r="E77" s="81"/>
      <c r="F77" s="81"/>
      <c r="G77" s="81">
        <v>1</v>
      </c>
      <c r="H77" s="82" t="s">
        <v>907</v>
      </c>
      <c r="J77" s="80"/>
      <c r="K77" s="80">
        <f t="shared" si="0"/>
        <v>0</v>
      </c>
      <c r="L77" s="80">
        <f t="shared" si="1"/>
        <v>0</v>
      </c>
    </row>
    <row r="78" spans="2:12" ht="12.75">
      <c r="B78" s="83"/>
      <c r="C78" s="81"/>
      <c r="D78" s="81"/>
      <c r="E78" s="81"/>
      <c r="F78" s="81"/>
      <c r="G78" s="81"/>
      <c r="H78" s="82"/>
      <c r="J78" s="80"/>
      <c r="K78" s="80"/>
      <c r="L78" s="80"/>
    </row>
    <row r="79" spans="2:12" ht="15">
      <c r="B79" s="76" t="s">
        <v>929</v>
      </c>
      <c r="C79" s="81"/>
      <c r="D79" s="81"/>
      <c r="E79" s="81"/>
      <c r="F79" s="81"/>
      <c r="G79" s="81"/>
      <c r="H79" s="82"/>
      <c r="J79" s="80"/>
      <c r="K79" s="80"/>
      <c r="L79" s="80"/>
    </row>
    <row r="80" spans="2:12" ht="12.75">
      <c r="B80" s="83" t="s">
        <v>930</v>
      </c>
      <c r="C80" s="81"/>
      <c r="D80" s="81"/>
      <c r="E80" s="81"/>
      <c r="F80" s="81"/>
      <c r="G80" s="81">
        <v>27</v>
      </c>
      <c r="H80" s="82" t="s">
        <v>907</v>
      </c>
      <c r="J80" s="80"/>
      <c r="K80" s="80">
        <f t="shared" si="0"/>
        <v>0</v>
      </c>
      <c r="L80" s="80">
        <f t="shared" si="1"/>
        <v>0</v>
      </c>
    </row>
    <row r="81" spans="2:12" ht="12.75">
      <c r="B81" s="83" t="s">
        <v>931</v>
      </c>
      <c r="C81" s="81"/>
      <c r="D81" s="81"/>
      <c r="E81" s="81"/>
      <c r="F81" s="81"/>
      <c r="G81" s="81">
        <v>2</v>
      </c>
      <c r="H81" s="82" t="s">
        <v>907</v>
      </c>
      <c r="J81" s="80"/>
      <c r="K81" s="80">
        <f t="shared" si="0"/>
        <v>0</v>
      </c>
      <c r="L81" s="80">
        <f t="shared" si="1"/>
        <v>0</v>
      </c>
    </row>
    <row r="82" spans="2:12" ht="12.75">
      <c r="B82" s="83" t="s">
        <v>932</v>
      </c>
      <c r="C82" s="81"/>
      <c r="D82" s="81"/>
      <c r="E82" s="81"/>
      <c r="F82" s="81"/>
      <c r="G82" s="81">
        <v>4</v>
      </c>
      <c r="H82" s="82" t="s">
        <v>907</v>
      </c>
      <c r="J82" s="80"/>
      <c r="K82" s="80">
        <f t="shared" si="0"/>
        <v>0</v>
      </c>
      <c r="L82" s="80">
        <f t="shared" si="1"/>
        <v>0</v>
      </c>
    </row>
    <row r="83" spans="2:12" ht="12.75">
      <c r="B83" s="83" t="s">
        <v>933</v>
      </c>
      <c r="C83" s="81"/>
      <c r="D83" s="81"/>
      <c r="E83" s="81"/>
      <c r="F83" s="81"/>
      <c r="G83" s="81">
        <v>2</v>
      </c>
      <c r="H83" s="82" t="s">
        <v>907</v>
      </c>
      <c r="J83" s="80"/>
      <c r="K83" s="80">
        <f t="shared" si="0"/>
        <v>0</v>
      </c>
      <c r="L83" s="80">
        <f t="shared" si="1"/>
        <v>0</v>
      </c>
    </row>
    <row r="84" spans="2:12" ht="12.75">
      <c r="B84" s="83"/>
      <c r="C84" s="81"/>
      <c r="D84" s="81"/>
      <c r="E84" s="81"/>
      <c r="F84" s="81"/>
      <c r="G84" s="81"/>
      <c r="H84" s="82"/>
      <c r="J84" s="80"/>
      <c r="K84" s="80"/>
      <c r="L84" s="80"/>
    </row>
    <row r="85" spans="2:12" ht="15">
      <c r="B85" s="76" t="s">
        <v>934</v>
      </c>
      <c r="C85" s="81"/>
      <c r="D85" s="81"/>
      <c r="E85" s="81"/>
      <c r="F85" s="81"/>
      <c r="G85" s="81"/>
      <c r="H85" s="82"/>
      <c r="J85" s="80"/>
      <c r="K85" s="80"/>
      <c r="L85" s="80"/>
    </row>
    <row r="86" spans="2:12" ht="12.75">
      <c r="B86" s="87" t="s">
        <v>935</v>
      </c>
      <c r="C86" s="81"/>
      <c r="D86" s="81"/>
      <c r="E86" s="81"/>
      <c r="F86" s="81"/>
      <c r="G86" s="81">
        <v>11</v>
      </c>
      <c r="H86" s="82" t="s">
        <v>907</v>
      </c>
      <c r="J86" s="80"/>
      <c r="K86" s="80">
        <f t="shared" si="0"/>
        <v>0</v>
      </c>
      <c r="L86" s="80">
        <f t="shared" si="1"/>
        <v>0</v>
      </c>
    </row>
    <row r="87" spans="2:12" ht="12.75">
      <c r="B87" s="87" t="s">
        <v>936</v>
      </c>
      <c r="C87" s="81"/>
      <c r="D87" s="81"/>
      <c r="E87" s="81"/>
      <c r="F87" s="81"/>
      <c r="G87" s="81">
        <v>2</v>
      </c>
      <c r="H87" s="82" t="s">
        <v>907</v>
      </c>
      <c r="J87" s="80"/>
      <c r="K87" s="80">
        <f t="shared" si="0"/>
        <v>0</v>
      </c>
      <c r="L87" s="80">
        <f t="shared" si="1"/>
        <v>0</v>
      </c>
    </row>
    <row r="88" spans="2:12" ht="12.75">
      <c r="B88" s="87" t="s">
        <v>937</v>
      </c>
      <c r="C88" s="81"/>
      <c r="D88" s="81"/>
      <c r="E88" s="81"/>
      <c r="F88" s="81"/>
      <c r="G88" s="81">
        <v>12</v>
      </c>
      <c r="H88" s="82" t="s">
        <v>749</v>
      </c>
      <c r="J88" s="80"/>
      <c r="K88" s="80">
        <f t="shared" si="0"/>
        <v>0</v>
      </c>
      <c r="L88" s="80">
        <f t="shared" si="1"/>
        <v>0</v>
      </c>
    </row>
    <row r="89" spans="2:12" ht="12.75">
      <c r="B89" s="87" t="s">
        <v>938</v>
      </c>
      <c r="C89" s="81"/>
      <c r="D89" s="81"/>
      <c r="E89" s="81"/>
      <c r="F89" s="81"/>
      <c r="G89" s="81">
        <v>1</v>
      </c>
      <c r="H89" s="82" t="s">
        <v>907</v>
      </c>
      <c r="J89" s="80"/>
      <c r="K89" s="80">
        <f t="shared" si="0"/>
        <v>0</v>
      </c>
      <c r="L89" s="80">
        <f t="shared" si="1"/>
        <v>0</v>
      </c>
    </row>
    <row r="90" spans="2:12" ht="12.75">
      <c r="B90" s="83"/>
      <c r="C90" s="81"/>
      <c r="D90" s="81"/>
      <c r="E90" s="81"/>
      <c r="F90" s="81"/>
      <c r="G90" s="81"/>
      <c r="H90" s="82"/>
      <c r="J90" s="80"/>
      <c r="K90" s="80"/>
      <c r="L90" s="80"/>
    </row>
    <row r="91" spans="2:12" ht="15">
      <c r="B91" s="76" t="s">
        <v>939</v>
      </c>
      <c r="C91" s="81"/>
      <c r="D91" s="81"/>
      <c r="E91" s="81"/>
      <c r="F91" s="81"/>
      <c r="G91" s="81"/>
      <c r="H91" s="82"/>
      <c r="J91" s="80"/>
      <c r="K91" s="80"/>
      <c r="L91" s="80"/>
    </row>
    <row r="92" spans="2:12" ht="12.75">
      <c r="B92" s="83" t="s">
        <v>940</v>
      </c>
      <c r="C92" s="81"/>
      <c r="D92" s="81"/>
      <c r="E92" s="81"/>
      <c r="F92" s="81"/>
      <c r="G92" s="81">
        <v>10</v>
      </c>
      <c r="H92" s="82" t="s">
        <v>749</v>
      </c>
      <c r="J92" s="80"/>
      <c r="K92" s="80">
        <f>J92*G92</f>
        <v>0</v>
      </c>
      <c r="L92" s="80">
        <f>K92*(1+$M$49)</f>
        <v>0</v>
      </c>
    </row>
    <row r="93" spans="2:12" ht="12.75">
      <c r="B93" s="83" t="s">
        <v>941</v>
      </c>
      <c r="C93" s="81"/>
      <c r="D93" s="81"/>
      <c r="E93" s="81"/>
      <c r="F93" s="81"/>
      <c r="G93" s="81">
        <v>120</v>
      </c>
      <c r="H93" s="82" t="s">
        <v>749</v>
      </c>
      <c r="J93" s="80"/>
      <c r="K93" s="80">
        <f t="shared" si="0"/>
        <v>0</v>
      </c>
      <c r="L93" s="80">
        <f t="shared" si="1"/>
        <v>0</v>
      </c>
    </row>
    <row r="94" spans="2:12" ht="12.75">
      <c r="B94" s="83" t="s">
        <v>942</v>
      </c>
      <c r="C94" s="81"/>
      <c r="D94" s="81"/>
      <c r="E94" s="81"/>
      <c r="F94" s="81"/>
      <c r="G94" s="81">
        <v>10</v>
      </c>
      <c r="H94" s="82" t="s">
        <v>749</v>
      </c>
      <c r="J94" s="80"/>
      <c r="K94" s="80">
        <f t="shared" si="0"/>
        <v>0</v>
      </c>
      <c r="L94" s="80">
        <f t="shared" si="1"/>
        <v>0</v>
      </c>
    </row>
    <row r="95" spans="2:12" ht="12.75">
      <c r="B95" s="83" t="s">
        <v>943</v>
      </c>
      <c r="C95" s="81"/>
      <c r="D95" s="81"/>
      <c r="E95" s="81"/>
      <c r="F95" s="81"/>
      <c r="G95" s="81">
        <v>100</v>
      </c>
      <c r="H95" s="82" t="s">
        <v>749</v>
      </c>
      <c r="J95" s="80"/>
      <c r="K95" s="80">
        <f t="shared" si="0"/>
        <v>0</v>
      </c>
      <c r="L95" s="80">
        <f t="shared" si="1"/>
        <v>0</v>
      </c>
    </row>
    <row r="96" spans="2:12" ht="12.75">
      <c r="B96" s="83" t="s">
        <v>944</v>
      </c>
      <c r="C96" s="81"/>
      <c r="D96" s="81"/>
      <c r="E96" s="81"/>
      <c r="F96" s="81"/>
      <c r="G96" s="81">
        <v>60</v>
      </c>
      <c r="H96" s="82" t="s">
        <v>749</v>
      </c>
      <c r="J96" s="84"/>
      <c r="K96" s="80">
        <f t="shared" si="0"/>
        <v>0</v>
      </c>
      <c r="L96" s="80">
        <f t="shared" si="1"/>
        <v>0</v>
      </c>
    </row>
    <row r="97" spans="2:12" ht="12.75">
      <c r="B97" s="83" t="s">
        <v>945</v>
      </c>
      <c r="C97" s="81"/>
      <c r="D97" s="81"/>
      <c r="E97" s="81"/>
      <c r="F97" s="81"/>
      <c r="G97" s="81">
        <v>75</v>
      </c>
      <c r="H97" s="82" t="s">
        <v>749</v>
      </c>
      <c r="J97" s="84"/>
      <c r="K97" s="80">
        <f t="shared" si="0"/>
        <v>0</v>
      </c>
      <c r="L97" s="80">
        <f t="shared" si="1"/>
        <v>0</v>
      </c>
    </row>
    <row r="98" spans="2:12" ht="12.75">
      <c r="B98" s="83" t="s">
        <v>946</v>
      </c>
      <c r="C98" s="81"/>
      <c r="D98" s="81"/>
      <c r="E98" s="81"/>
      <c r="F98" s="81"/>
      <c r="G98" s="81">
        <v>20</v>
      </c>
      <c r="H98" s="82" t="s">
        <v>749</v>
      </c>
      <c r="J98" s="84"/>
      <c r="K98" s="80">
        <f t="shared" si="0"/>
        <v>0</v>
      </c>
      <c r="L98" s="80">
        <f t="shared" si="1"/>
        <v>0</v>
      </c>
    </row>
    <row r="99" spans="2:12" ht="12.75">
      <c r="B99" s="83" t="s">
        <v>947</v>
      </c>
      <c r="C99" s="81"/>
      <c r="D99" s="81"/>
      <c r="E99" s="81"/>
      <c r="F99" s="81"/>
      <c r="G99" s="81">
        <v>15</v>
      </c>
      <c r="H99" s="82" t="s">
        <v>749</v>
      </c>
      <c r="J99" s="80"/>
      <c r="K99" s="80">
        <f t="shared" si="0"/>
        <v>0</v>
      </c>
      <c r="L99" s="80">
        <f t="shared" si="1"/>
        <v>0</v>
      </c>
    </row>
    <row r="100" spans="2:12" ht="12.75">
      <c r="B100" s="83" t="s">
        <v>948</v>
      </c>
      <c r="C100" s="81"/>
      <c r="D100" s="81"/>
      <c r="E100" s="81"/>
      <c r="F100" s="81"/>
      <c r="G100" s="81">
        <v>100</v>
      </c>
      <c r="H100" s="82" t="s">
        <v>749</v>
      </c>
      <c r="J100" s="80"/>
      <c r="K100" s="80">
        <f t="shared" si="0"/>
        <v>0</v>
      </c>
      <c r="L100" s="80">
        <f t="shared" si="1"/>
        <v>0</v>
      </c>
    </row>
    <row r="101" spans="2:12" ht="12.75">
      <c r="B101" s="83" t="s">
        <v>949</v>
      </c>
      <c r="C101" s="81"/>
      <c r="D101" s="81"/>
      <c r="E101" s="81"/>
      <c r="F101" s="81"/>
      <c r="G101" s="81">
        <v>44</v>
      </c>
      <c r="H101" s="82" t="s">
        <v>907</v>
      </c>
      <c r="J101" s="80"/>
      <c r="K101" s="80">
        <f t="shared" si="0"/>
        <v>0</v>
      </c>
      <c r="L101" s="80">
        <f t="shared" si="1"/>
        <v>0</v>
      </c>
    </row>
    <row r="102" spans="2:12" ht="12.75">
      <c r="B102" s="83" t="s">
        <v>950</v>
      </c>
      <c r="C102" s="81"/>
      <c r="D102" s="81"/>
      <c r="E102" s="81"/>
      <c r="F102" s="81"/>
      <c r="G102" s="81">
        <v>40</v>
      </c>
      <c r="H102" s="82" t="s">
        <v>749</v>
      </c>
      <c r="J102" s="80"/>
      <c r="K102" s="80">
        <f t="shared" si="0"/>
        <v>0</v>
      </c>
      <c r="L102" s="80">
        <f t="shared" si="1"/>
        <v>0</v>
      </c>
    </row>
    <row r="103" spans="2:12" ht="12.75">
      <c r="B103" s="83" t="s">
        <v>951</v>
      </c>
      <c r="C103" s="81"/>
      <c r="D103" s="81"/>
      <c r="E103" s="81"/>
      <c r="F103" s="81"/>
      <c r="G103" s="81">
        <v>1</v>
      </c>
      <c r="H103" s="82" t="s">
        <v>756</v>
      </c>
      <c r="J103" s="80"/>
      <c r="K103" s="80">
        <f t="shared" si="0"/>
        <v>0</v>
      </c>
      <c r="L103" s="80">
        <f t="shared" si="1"/>
        <v>0</v>
      </c>
    </row>
    <row r="104" spans="2:12" ht="12.75">
      <c r="B104" s="88" t="s">
        <v>952</v>
      </c>
      <c r="C104" s="89"/>
      <c r="D104" s="89"/>
      <c r="E104" s="89"/>
      <c r="F104" s="89"/>
      <c r="G104" s="81">
        <v>120</v>
      </c>
      <c r="H104" s="82" t="s">
        <v>754</v>
      </c>
      <c r="J104" s="84"/>
      <c r="K104" s="80">
        <f t="shared" si="0"/>
        <v>0</v>
      </c>
      <c r="L104" s="80">
        <f t="shared" si="1"/>
        <v>0</v>
      </c>
    </row>
    <row r="105" spans="2:12" ht="12.75">
      <c r="B105" s="88" t="s">
        <v>953</v>
      </c>
      <c r="C105" s="89"/>
      <c r="D105" s="89"/>
      <c r="E105" s="89"/>
      <c r="F105" s="89"/>
      <c r="G105" s="81">
        <v>100</v>
      </c>
      <c r="H105" s="82" t="s">
        <v>754</v>
      </c>
      <c r="J105" s="84"/>
      <c r="K105" s="80">
        <f t="shared" si="0"/>
        <v>0</v>
      </c>
      <c r="L105" s="80">
        <f t="shared" si="1"/>
        <v>0</v>
      </c>
    </row>
    <row r="106" spans="2:12" ht="12.75">
      <c r="B106" s="184" t="s">
        <v>772</v>
      </c>
      <c r="J106" s="80"/>
      <c r="K106" s="185">
        <f>SUM(K50:K105)</f>
        <v>0</v>
      </c>
      <c r="L106" s="185">
        <f t="shared" si="1"/>
        <v>0</v>
      </c>
    </row>
  </sheetData>
  <sheetProtection/>
  <mergeCells count="45">
    <mergeCell ref="B1:H5"/>
    <mergeCell ref="B6:H6"/>
    <mergeCell ref="B7:H7"/>
    <mergeCell ref="B8:H8"/>
    <mergeCell ref="D9:E9"/>
    <mergeCell ref="G9:H9"/>
    <mergeCell ref="D10:E10"/>
    <mergeCell ref="G10:H10"/>
    <mergeCell ref="D11:E11"/>
    <mergeCell ref="G11:H11"/>
    <mergeCell ref="C12:H12"/>
    <mergeCell ref="C13:H13"/>
    <mergeCell ref="C14:H14"/>
    <mergeCell ref="C15:H15"/>
    <mergeCell ref="C16:H16"/>
    <mergeCell ref="C17:H17"/>
    <mergeCell ref="B18:H18"/>
    <mergeCell ref="F19:H19"/>
    <mergeCell ref="B20:D20"/>
    <mergeCell ref="F20:H20"/>
    <mergeCell ref="B21:D21"/>
    <mergeCell ref="F21:H21"/>
    <mergeCell ref="B22:D22"/>
    <mergeCell ref="F22:H22"/>
    <mergeCell ref="B23:D23"/>
    <mergeCell ref="F23:H23"/>
    <mergeCell ref="B24:D24"/>
    <mergeCell ref="F24:H24"/>
    <mergeCell ref="C25:D25"/>
    <mergeCell ref="F25:G25"/>
    <mergeCell ref="C26:D26"/>
    <mergeCell ref="F26:G26"/>
    <mergeCell ref="B27:D27"/>
    <mergeCell ref="F27:G27"/>
    <mergeCell ref="B28:D28"/>
    <mergeCell ref="F28:G28"/>
    <mergeCell ref="B32:D32"/>
    <mergeCell ref="F32:G32"/>
    <mergeCell ref="B50:H50"/>
    <mergeCell ref="B29:D29"/>
    <mergeCell ref="F29:G29"/>
    <mergeCell ref="B30:D30"/>
    <mergeCell ref="F30:G30"/>
    <mergeCell ref="B31:D31"/>
    <mergeCell ref="F31:G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Evička</dc:creator>
  <cp:keywords/>
  <dc:description/>
  <cp:lastModifiedBy>Filipovský Pavel</cp:lastModifiedBy>
  <dcterms:created xsi:type="dcterms:W3CDTF">2019-09-24T18:13:10Z</dcterms:created>
  <dcterms:modified xsi:type="dcterms:W3CDTF">2019-10-17T08:43:55Z</dcterms:modified>
  <cp:category/>
  <cp:version/>
  <cp:contentType/>
  <cp:contentStatus/>
</cp:coreProperties>
</file>