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<sst xmlns="http://schemas.openxmlformats.org/spreadsheetml/2006/main" count="391" uniqueCount="257">
  <si>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</si>
  <si>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</si>
  <si>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</si>
  <si>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</si>
  <si>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</si>
  <si>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</si>
  <si>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</si>
  <si>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</si>
  <si>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</si>
  <si>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</si>
  <si>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</si>
  <si>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</si>
  <si>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</si>
  <si>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</si>
  <si>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</si>
  <si>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</si>
  <si>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</si>
  <si>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</si>
  <si>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</si>
  <si>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</si>
  <si>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</si>
  <si>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</si>
  <si>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</si>
  <si>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</si>
  <si>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</si>
  <si>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</si>
  <si>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</si>
  <si>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</si>
  <si>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</si>
  <si>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</si>
  <si>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</si>
  <si>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</si>
  <si>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</si>
  <si>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</si>
  <si>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</si>
  <si>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</si>
  <si>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</si>
  <si>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</si>
  <si>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</si>
  <si>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</si>
  <si>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</si>
  <si>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</si>
  <si>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</si>
  <si>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</si>
  <si>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</si>
  <si>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</si>
  <si>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</si>
  <si>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</si>
  <si>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</si>
  <si>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</si>
  <si>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</si>
  <si>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</si>
  <si>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</si>
  <si>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</si>
  <si>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</si>
  <si>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</si>
  <si>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</si>
  <si>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Objekt</t>
  </si>
  <si>
    <t>Kód</t>
  </si>
  <si>
    <t>121101101R00</t>
  </si>
  <si>
    <t>122202202R00</t>
  </si>
  <si>
    <t>123202101R00</t>
  </si>
  <si>
    <t>131301101R00</t>
  </si>
  <si>
    <t>132301201R00</t>
  </si>
  <si>
    <t>162301101R00</t>
  </si>
  <si>
    <t>162401102R00</t>
  </si>
  <si>
    <t>167101102R00</t>
  </si>
  <si>
    <t>171101141R00</t>
  </si>
  <si>
    <t>171201201R00</t>
  </si>
  <si>
    <t>174101101R00</t>
  </si>
  <si>
    <t>174101103R00</t>
  </si>
  <si>
    <t>180401213R00</t>
  </si>
  <si>
    <t>181101102R00</t>
  </si>
  <si>
    <t>181301111R00</t>
  </si>
  <si>
    <t>181301113R00</t>
  </si>
  <si>
    <t>182101101R00</t>
  </si>
  <si>
    <t>182301131R00</t>
  </si>
  <si>
    <t>317361016R00</t>
  </si>
  <si>
    <t>321311115R00</t>
  </si>
  <si>
    <t>321351010R00</t>
  </si>
  <si>
    <t>321352010R00</t>
  </si>
  <si>
    <t>451311511R00</t>
  </si>
  <si>
    <t>451571111R00</t>
  </si>
  <si>
    <t>451573111R00</t>
  </si>
  <si>
    <t>451595111R00</t>
  </si>
  <si>
    <t>452318510R00</t>
  </si>
  <si>
    <t>463211100R00</t>
  </si>
  <si>
    <t>465511127R00</t>
  </si>
  <si>
    <t>465511312R00</t>
  </si>
  <si>
    <t>56</t>
  </si>
  <si>
    <t>564871111R00</t>
  </si>
  <si>
    <t>565145221VD</t>
  </si>
  <si>
    <t>569551111R00</t>
  </si>
  <si>
    <t>569851111R00</t>
  </si>
  <si>
    <t>57</t>
  </si>
  <si>
    <t>573231111R00</t>
  </si>
  <si>
    <t>577134321VD</t>
  </si>
  <si>
    <t>81</t>
  </si>
  <si>
    <t>811387111R00</t>
  </si>
  <si>
    <t>91</t>
  </si>
  <si>
    <t>912291111R00</t>
  </si>
  <si>
    <t>919311112R00</t>
  </si>
  <si>
    <t>919512111R00</t>
  </si>
  <si>
    <t>93</t>
  </si>
  <si>
    <t>936941113R00</t>
  </si>
  <si>
    <t>H22</t>
  </si>
  <si>
    <t>998225111R00</t>
  </si>
  <si>
    <t>00572460</t>
  </si>
  <si>
    <t>13227802</t>
  </si>
  <si>
    <t>13331732</t>
  </si>
  <si>
    <t>56288950</t>
  </si>
  <si>
    <t>59221138</t>
  </si>
  <si>
    <t>59222532</t>
  </si>
  <si>
    <t>59223113</t>
  </si>
  <si>
    <t>Polní cesta C 2  Miskovice</t>
  </si>
  <si>
    <t>SO 2 km 0,3117 - 1,584</t>
  </si>
  <si>
    <t>Miskovice</t>
  </si>
  <si>
    <t>Zkrácený popis</t>
  </si>
  <si>
    <t>Odkopávky a prokopávky</t>
  </si>
  <si>
    <t>Sejmutí ornice s přemístěním do 50 m</t>
  </si>
  <si>
    <t>Odkopávky pro silnice v hor. 3 do 1000 m3</t>
  </si>
  <si>
    <t>Vykopávky zářezů v hor.3 do 1000 m3</t>
  </si>
  <si>
    <t>Hloubené vykopávky</t>
  </si>
  <si>
    <t>Hloubení nezapažených jam v hor.4 do 100 m3</t>
  </si>
  <si>
    <t>Hloubení rýh šířky do 200 cm v hor.4 do 100 m3</t>
  </si>
  <si>
    <t>Přemístění výkopku</t>
  </si>
  <si>
    <t>Vodorovné přemístění výkopku z hor.1-4 do 500 m</t>
  </si>
  <si>
    <t>Vodorovné přemístění výkopku z hor.1-4 do 2000 m</t>
  </si>
  <si>
    <t>Nakládání výkopku z hor.1-4 v množství nad 100 m3</t>
  </si>
  <si>
    <t>Konstrukce ze zemin</t>
  </si>
  <si>
    <t>Násyp pro silnice a železnice v množství 0,75 m3/m</t>
  </si>
  <si>
    <t>Uložení sypaniny na skládku</t>
  </si>
  <si>
    <t>Zásyp jam, rýh, šachet se zhutněním</t>
  </si>
  <si>
    <t>Zásyp zářezů se šikmými stěnami se zhutněním</t>
  </si>
  <si>
    <t>Povrchové úpravy terénu</t>
  </si>
  <si>
    <t>Založení trávníku lučního výsevem ve svahu do 1:1</t>
  </si>
  <si>
    <t>Úprava pláně v zářezech v hor. 1-4, se zhutněním</t>
  </si>
  <si>
    <t>Rozprostření ornice, rovina, tl.do 10 cm,nad 500m2</t>
  </si>
  <si>
    <t>Rozprostření ornice, rovina, tl.15-20 cm,nad 500m2</t>
  </si>
  <si>
    <t>Svahování v zářezech v hor. 1 - 4</t>
  </si>
  <si>
    <t>Rozprostření ornice, svah, tl. do 10 cm, nad 500m2</t>
  </si>
  <si>
    <t>Zdi podpěrné a volné</t>
  </si>
  <si>
    <t>Výztuž říms zdí a valů z oceli 10 505</t>
  </si>
  <si>
    <t>Zdi přehradní a opěrné</t>
  </si>
  <si>
    <t>Konstrukce přehrad z prostého betonu V12 T100 B 30</t>
  </si>
  <si>
    <t>Obednění konstrukcí přehrad ploch rovinných</t>
  </si>
  <si>
    <t>Odbednění konstrukcí přehrad ploch rovinných</t>
  </si>
  <si>
    <t>Podkladní a vedlejší konstrukce (inženýr. stavby kromě vozovek a železnič. svršku)</t>
  </si>
  <si>
    <t>Podklad pod dlažbu z betonu V4 T0 B 12,5, do 10 cm</t>
  </si>
  <si>
    <t>Lože dlažby ze štěrkopísků tl. do 10 cm</t>
  </si>
  <si>
    <t>Lože pod potrubí ze štěrkopísku do 63 mm</t>
  </si>
  <si>
    <t>Lože pod potrubí z prohozeného výkopku</t>
  </si>
  <si>
    <t>Zajišťovací práh z betonu s patkami i bez patek</t>
  </si>
  <si>
    <t>Zpevněné plochy (kromě vozovek a železnič. svršku)</t>
  </si>
  <si>
    <t>Rovnanina z lom.kam. do 3 m3, 80 kg, urovnání líce</t>
  </si>
  <si>
    <t>Dlažba z kamene suchá s vyk.,výplň spár kam. 20 cm</t>
  </si>
  <si>
    <t>Dlažba z lom.kam. suchá do 20 m2 výpl. MC10, 25 cm</t>
  </si>
  <si>
    <t>Podkladní vrstvy komunikací, letišť a ploch</t>
  </si>
  <si>
    <t>Podklad ze štěrkodrti po zhutnění tloušťky 25 cm</t>
  </si>
  <si>
    <t>Podklad z kameniva OKS tl. 60 mm nad 3 m</t>
  </si>
  <si>
    <t>Zpevnění krajnic prohozenou zeminou tl.15 cm</t>
  </si>
  <si>
    <t>Zpevnění krajnic štěrkodrtí tloušťky  15 cm</t>
  </si>
  <si>
    <t>Kryty štěrkových a živičných komunikací a ploch</t>
  </si>
  <si>
    <t>Postřik živičný spojovací z emulze 0,5-0,7 kg/m2</t>
  </si>
  <si>
    <t>Asfaltový beton ABS tl 40 mm š nad 3 m</t>
  </si>
  <si>
    <t>Potrubí z trub betonových</t>
  </si>
  <si>
    <t>Kladení netěsněného potrubí z trub beton., DN 400</t>
  </si>
  <si>
    <t>Doplňující konstrukce a práce pozemních komunikací, letišť a ploch</t>
  </si>
  <si>
    <t>Osazení směrového kůlu z plastických hmot</t>
  </si>
  <si>
    <t>Čelo propustku z betonu prostého B 10 (C8/10)</t>
  </si>
  <si>
    <t>Zřízení propustku z trub betonových/ŽB DN 40 cm</t>
  </si>
  <si>
    <t>Různé dokončovací konstrukce a práce inženýrských staveb</t>
  </si>
  <si>
    <t>Osazení doplňkových ocel. součástí do 50 kg</t>
  </si>
  <si>
    <t>Komunikace pozemní a letiště</t>
  </si>
  <si>
    <t>Přesun hmot, pozemní komunikace, kryt živičný</t>
  </si>
  <si>
    <t>Ostatní materiál</t>
  </si>
  <si>
    <t>Směs travní technická</t>
  </si>
  <si>
    <t>Tyč ocelová plochá jakost 11375  50x 6 mm</t>
  </si>
  <si>
    <t>Úhelník rovnoramenný L jakost 11375   60x 60x 6 mm</t>
  </si>
  <si>
    <t>Sloupek silniční směrový barevný 1200 mm s fólií</t>
  </si>
  <si>
    <t>Trouba železobetonová osmihranná TZP-Q  400/1000</t>
  </si>
  <si>
    <t>Trouba železobet hrdlová TZH-Q 40/250</t>
  </si>
  <si>
    <t>Trouba betonová hrdlová TBH-Q 40/250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</si>
  <si>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</si>
  <si>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</si>
  <si>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</si>
  <si>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</si>
  <si>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</si>
  <si>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</si>
  <si>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</si>
  <si>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</si>
  <si>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</t>
  </si>
  <si>
    <t>kus</t>
  </si>
  <si>
    <t>kg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</si>
  <si>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</si>
  <si>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</si>
  <si>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</si>
  <si>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</si>
  <si>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</si>
  <si>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</si>
  <si>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</si>
  <si>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</si>
  <si>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</si>
  <si>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</si>
  <si>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</si>
  <si>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</si>
  <si>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</si>
  <si>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s.r.o. Pardubice</t>
  </si>
  <si>
    <t>Navrátilová Eva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</si>
  <si>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</si>
  <si>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</si>
  <si>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</si>
  <si>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</si>
  <si>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</si>
  <si>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</si>
  <si>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</si>
  <si>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</si>
  <si>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</si>
  <si>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</si>
  <si>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</si>
  <si>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</si>
  <si>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</si>
  <si>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</si>
  <si>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</si>
  <si>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</si>
  <si>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9%</t>
  </si>
  <si>
    <t>Základ 19%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</si>
  <si>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</si>
  <si>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</si>
  <si>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</si>
  <si>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</si>
  <si>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</si>
  <si>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</si>
  <si>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</si>
  <si>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</si>
  <si>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</si>
  <si>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9%</t>
  </si>
  <si>
    <t>DPH 19%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</si>
  <si>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</si>
  <si>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</si>
  <si>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</si>
  <si>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</si>
  <si>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</si>
  <si>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</si>
  <si>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</si>
  <si>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</si>
  <si>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</si>
  <si>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</si>
  <si>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</si>
  <si>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</si>
  <si>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</si>
  <si>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</si>
  <si>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</si>
  <si>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</si>
  <si>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</si>
  <si>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161101101R00</t>
  </si>
  <si>
    <t>Svislé přemístění výkopku z hor. 1-4, do 2,5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</si>
</sst>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2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7" fillId="2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0" xfId="0" applyBorder="1" applyAlignment="1">
      <alignment vertical="center"/>
    </xf>
    <xf numFmtId="0" fontId="1" fillId="0" borderId="25" xfId="0" applyBorder="1" applyAlignment="1">
      <alignment vertical="center"/>
    </xf>
    <xf numFmtId="0" fontId="1" fillId="0" borderId="26" xfId="0" applyBorder="1" applyAlignment="1">
      <alignment vertical="center"/>
    </xf>
    <xf numFmtId="0" fontId="1" fillId="0" borderId="27" xfId="0" applyBorder="1" applyAlignment="1">
      <alignment vertical="center"/>
    </xf>
    <xf numFmtId="0" fontId="1" fillId="0" borderId="28" xfId="0" applyBorder="1" applyAlignment="1">
      <alignment vertical="center"/>
    </xf>
    <xf numFmtId="0" fontId="1" fillId="0" borderId="29" xfId="0" applyBorder="1" applyAlignment="1">
      <alignment vertical="center"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32" xfId="0" applyNumberFormat="1" applyFont="1" applyFill="1" applyBorder="1" applyAlignment="1" applyProtection="1">
      <alignment horizontal="righ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Border="1" applyAlignment="1">
      <alignment vertical="center"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11" fillId="2" borderId="30" xfId="0" applyNumberFormat="1" applyFont="1" applyFill="1" applyBorder="1" applyAlignment="1" applyProtection="1">
      <alignment horizontal="left" vertical="center"/>
      <protection/>
    </xf>
    <xf numFmtId="49" fontId="11" fillId="2" borderId="31" xfId="0" applyNumberFormat="1" applyFont="1" applyFill="1" applyBorder="1" applyAlignment="1" applyProtection="1">
      <alignment horizontal="left" vertical="center"/>
      <protection/>
    </xf>
    <xf numFmtId="49" fontId="12" fillId="2" borderId="31" xfId="0" applyNumberFormat="1" applyFont="1" applyFill="1" applyBorder="1" applyAlignment="1" applyProtection="1">
      <alignment horizontal="left" vertical="center"/>
      <protection/>
    </xf>
    <xf numFmtId="4" fontId="12" fillId="2" borderId="31" xfId="0" applyNumberFormat="1" applyFont="1" applyFill="1" applyBorder="1" applyAlignment="1" applyProtection="1">
      <alignment horizontal="right" vertical="center"/>
      <protection/>
    </xf>
    <xf numFmtId="49" fontId="12" fillId="2" borderId="31" xfId="0" applyNumberFormat="1" applyFont="1" applyFill="1" applyBorder="1" applyAlignment="1" applyProtection="1">
      <alignment horizontal="right" vertical="center"/>
      <protection/>
    </xf>
    <xf numFmtId="4" fontId="12" fillId="2" borderId="32" xfId="0" applyNumberFormat="1" applyFont="1" applyFill="1" applyBorder="1" applyAlignment="1" applyProtection="1">
      <alignment horizontal="righ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4" fontId="11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Border="1" applyAlignment="1">
      <alignment vertical="center"/>
    </xf>
    <xf numFmtId="4" fontId="11" fillId="0" borderId="34" xfId="0" applyNumberFormat="1" applyFont="1" applyFill="1" applyBorder="1" applyAlignment="1" applyProtection="1">
      <alignment horizontal="right" vertical="center"/>
      <protection/>
    </xf>
    <xf numFmtId="49" fontId="11" fillId="2" borderId="33" xfId="0" applyNumberFormat="1" applyFont="1" applyFill="1" applyBorder="1" applyAlignment="1" applyProtection="1">
      <alignment horizontal="left" vertical="center"/>
      <protection/>
    </xf>
    <xf numFmtId="49" fontId="11" fillId="2" borderId="18" xfId="0" applyNumberFormat="1" applyFont="1" applyFill="1" applyBorder="1" applyAlignment="1" applyProtection="1">
      <alignment horizontal="left" vertical="center"/>
      <protection/>
    </xf>
    <xf numFmtId="49" fontId="12" fillId="2" borderId="18" xfId="0" applyNumberFormat="1" applyFont="1" applyFill="1" applyBorder="1" applyAlignment="1" applyProtection="1">
      <alignment horizontal="left" vertical="center"/>
      <protection/>
    </xf>
    <xf numFmtId="4" fontId="12" fillId="2" borderId="18" xfId="0" applyNumberFormat="1" applyFont="1" applyFill="1" applyBorder="1" applyAlignment="1" applyProtection="1">
      <alignment horizontal="right" vertical="center"/>
      <protection/>
    </xf>
    <xf numFmtId="49" fontId="12" fillId="2" borderId="18" xfId="0" applyNumberFormat="1" applyFont="1" applyFill="1" applyBorder="1" applyAlignment="1" applyProtection="1">
      <alignment horizontal="right" vertical="center"/>
      <protection/>
    </xf>
    <xf numFmtId="4" fontId="12" fillId="2" borderId="34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4" fontId="3" fillId="0" borderId="26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2" fillId="2" borderId="18" xfId="0" applyNumberFormat="1" applyFont="1" applyFill="1" applyBorder="1" applyAlignment="1" applyProtection="1">
      <alignment horizontal="left" vertical="center"/>
      <protection/>
    </xf>
    <xf numFmtId="0" fontId="12" fillId="2" borderId="18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12" fillId="2" borderId="31" xfId="0" applyNumberFormat="1" applyFont="1" applyFill="1" applyBorder="1" applyAlignment="1" applyProtection="1">
      <alignment horizontal="left" vertical="center"/>
      <protection/>
    </xf>
    <xf numFmtId="0" fontId="12" fillId="2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50" xfId="0" applyNumberFormat="1" applyFont="1" applyFill="1" applyBorder="1" applyAlignment="1" applyProtection="1">
      <alignment horizontal="left" vertical="center"/>
      <protection/>
    </xf>
    <xf numFmtId="49" fontId="7" fillId="0" borderId="51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49" fontId="7" fillId="2" borderId="51" xfId="0" applyNumberFormat="1" applyFont="1" applyFill="1" applyBorder="1" applyAlignment="1" applyProtection="1">
      <alignment horizontal="left" vertical="center"/>
      <protection/>
    </xf>
    <xf numFmtId="0" fontId="7" fillId="2" borderId="21" xfId="0" applyNumberFormat="1" applyFont="1" applyFill="1" applyBorder="1" applyAlignment="1" applyProtection="1">
      <alignment horizontal="left" vertical="center"/>
      <protection/>
    </xf>
    <xf numFmtId="49" fontId="8" fillId="0" borderId="5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9">
      <selection activeCell="G25" sqref="G25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48.7109375" style="0" customWidth="1"/>
    <col min="5" max="5" width="4.28125" style="0" customWidth="1"/>
    <col min="6" max="12" width="10.28125" style="0" customWidth="1"/>
    <col min="13" max="16384" width="11.421875" style="0" customWidth="1"/>
  </cols>
  <sheetData>
    <row r="1" spans="1:12" ht="21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ht="12.75">
      <c r="A2" s="95" t="s">
        <v>1</v>
      </c>
      <c r="B2" s="85"/>
      <c r="C2" s="85"/>
      <c r="D2" s="75" t="s">
        <v>114</v>
      </c>
      <c r="E2" s="84" t="s">
        <v>183</v>
      </c>
      <c r="F2" s="85"/>
      <c r="G2" s="84"/>
      <c r="H2" s="85"/>
      <c r="I2" s="84" t="s">
        <v>201</v>
      </c>
      <c r="J2" s="84" t="s">
        <v>206</v>
      </c>
      <c r="K2" s="85"/>
      <c r="L2" s="86"/>
      <c r="M2" s="14"/>
    </row>
    <row r="3" spans="1:13" ht="12.75">
      <c r="A3" s="96"/>
      <c r="B3" s="87"/>
      <c r="C3" s="87"/>
      <c r="D3" s="92"/>
      <c r="E3" s="87"/>
      <c r="F3" s="87"/>
      <c r="G3" s="87"/>
      <c r="H3" s="87"/>
      <c r="I3" s="87"/>
      <c r="J3" s="87"/>
      <c r="K3" s="87"/>
      <c r="L3" s="88"/>
      <c r="M3" s="14"/>
    </row>
    <row r="4" spans="1:13" ht="12.75">
      <c r="A4" s="72" t="s">
        <v>2</v>
      </c>
      <c r="B4" s="87"/>
      <c r="C4" s="87"/>
      <c r="D4" s="82" t="s">
        <v>115</v>
      </c>
      <c r="E4" s="82" t="s">
        <v>184</v>
      </c>
      <c r="F4" s="87"/>
      <c r="G4" s="90"/>
      <c r="H4" s="87"/>
      <c r="I4" s="82" t="s">
        <v>202</v>
      </c>
      <c r="J4" s="82"/>
      <c r="K4" s="87"/>
      <c r="L4" s="88"/>
      <c r="M4" s="14"/>
    </row>
    <row r="5" spans="1:13" ht="12.75">
      <c r="A5" s="96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  <c r="M5" s="14"/>
    </row>
    <row r="6" spans="1:13" ht="12.75">
      <c r="A6" s="72" t="s">
        <v>3</v>
      </c>
      <c r="B6" s="87"/>
      <c r="C6" s="87"/>
      <c r="D6" s="82" t="s">
        <v>116</v>
      </c>
      <c r="E6" s="82" t="s">
        <v>185</v>
      </c>
      <c r="F6" s="87"/>
      <c r="G6" s="87"/>
      <c r="H6" s="87"/>
      <c r="I6" s="82" t="s">
        <v>203</v>
      </c>
      <c r="J6" s="82" t="s">
        <v>207</v>
      </c>
      <c r="K6" s="87"/>
      <c r="L6" s="88"/>
      <c r="M6" s="14"/>
    </row>
    <row r="7" spans="1:13" ht="12.75">
      <c r="A7" s="96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14"/>
    </row>
    <row r="8" spans="1:13" ht="12.75">
      <c r="A8" s="72" t="s">
        <v>4</v>
      </c>
      <c r="B8" s="87"/>
      <c r="C8" s="87"/>
      <c r="D8" s="82"/>
      <c r="E8" s="82" t="s">
        <v>186</v>
      </c>
      <c r="F8" s="87"/>
      <c r="G8" s="90">
        <v>39903</v>
      </c>
      <c r="H8" s="87"/>
      <c r="I8" s="82" t="s">
        <v>204</v>
      </c>
      <c r="J8" s="82" t="s">
        <v>208</v>
      </c>
      <c r="K8" s="87"/>
      <c r="L8" s="88"/>
      <c r="M8" s="14"/>
    </row>
    <row r="9" spans="1:13" ht="12.75">
      <c r="A9" s="91"/>
      <c r="B9" s="83"/>
      <c r="C9" s="83"/>
      <c r="D9" s="83"/>
      <c r="E9" s="83"/>
      <c r="F9" s="83"/>
      <c r="G9" s="83"/>
      <c r="H9" s="83"/>
      <c r="I9" s="83"/>
      <c r="J9" s="83"/>
      <c r="K9" s="83"/>
      <c r="L9" s="89"/>
      <c r="M9" s="14"/>
    </row>
    <row r="10" spans="1:13" ht="12.75">
      <c r="A10" s="2" t="s">
        <v>5</v>
      </c>
      <c r="B10" s="5" t="s">
        <v>5</v>
      </c>
      <c r="C10" s="5" t="s">
        <v>5</v>
      </c>
      <c r="D10" s="5" t="s">
        <v>5</v>
      </c>
      <c r="E10" s="5" t="s">
        <v>5</v>
      </c>
      <c r="F10" s="5" t="s">
        <v>5</v>
      </c>
      <c r="G10" s="8" t="s">
        <v>196</v>
      </c>
      <c r="H10" s="77" t="s">
        <v>198</v>
      </c>
      <c r="I10" s="78"/>
      <c r="J10" s="79"/>
      <c r="K10" s="77" t="s">
        <v>210</v>
      </c>
      <c r="L10" s="79"/>
      <c r="M10" s="15"/>
    </row>
    <row r="11" spans="1:13" ht="13.5" thickBot="1">
      <c r="A11" s="3" t="s">
        <v>6</v>
      </c>
      <c r="B11" s="6" t="s">
        <v>57</v>
      </c>
      <c r="C11" s="6" t="s">
        <v>58</v>
      </c>
      <c r="D11" s="6" t="s">
        <v>117</v>
      </c>
      <c r="E11" s="6" t="s">
        <v>187</v>
      </c>
      <c r="F11" s="7" t="s">
        <v>195</v>
      </c>
      <c r="G11" s="9" t="s">
        <v>197</v>
      </c>
      <c r="H11" s="11" t="s">
        <v>199</v>
      </c>
      <c r="I11" s="12" t="s">
        <v>205</v>
      </c>
      <c r="J11" s="13" t="s">
        <v>209</v>
      </c>
      <c r="K11" s="11" t="s">
        <v>196</v>
      </c>
      <c r="L11" s="13" t="s">
        <v>209</v>
      </c>
      <c r="M11" s="15"/>
    </row>
    <row r="12" spans="1:12" ht="12.75">
      <c r="A12" s="53"/>
      <c r="B12" s="54"/>
      <c r="C12" s="55" t="s">
        <v>18</v>
      </c>
      <c r="D12" s="80" t="s">
        <v>118</v>
      </c>
      <c r="E12" s="81"/>
      <c r="F12" s="81"/>
      <c r="G12" s="81"/>
      <c r="H12" s="56">
        <f>SUM(H13:H15)</f>
        <v>0</v>
      </c>
      <c r="I12" s="56">
        <f>SUM(I13:I15)</f>
        <v>0</v>
      </c>
      <c r="J12" s="56">
        <f aca="true" t="shared" si="0" ref="J12:J43">H12+I12</f>
        <v>0</v>
      </c>
      <c r="K12" s="57"/>
      <c r="L12" s="58">
        <f>SUM(L13:L15)</f>
        <v>0</v>
      </c>
    </row>
    <row r="13" spans="1:12" ht="12.75">
      <c r="A13" s="59" t="s">
        <v>7</v>
      </c>
      <c r="B13" s="60"/>
      <c r="C13" s="60" t="s">
        <v>59</v>
      </c>
      <c r="D13" s="60" t="s">
        <v>119</v>
      </c>
      <c r="E13" s="60" t="s">
        <v>188</v>
      </c>
      <c r="F13" s="61">
        <v>758.5</v>
      </c>
      <c r="G13" s="62"/>
      <c r="H13" s="61">
        <f>F13*G13*0</f>
        <v>0</v>
      </c>
      <c r="I13" s="61">
        <f>F13*G13*(1-0)</f>
        <v>0</v>
      </c>
      <c r="J13" s="61">
        <f t="shared" si="0"/>
        <v>0</v>
      </c>
      <c r="K13" s="61">
        <v>0</v>
      </c>
      <c r="L13" s="63">
        <f>F13*K13</f>
        <v>0</v>
      </c>
    </row>
    <row r="14" spans="1:12" ht="12.75">
      <c r="A14" s="59" t="s">
        <v>8</v>
      </c>
      <c r="B14" s="60"/>
      <c r="C14" s="60" t="s">
        <v>60</v>
      </c>
      <c r="D14" s="60" t="s">
        <v>120</v>
      </c>
      <c r="E14" s="60" t="s">
        <v>188</v>
      </c>
      <c r="F14" s="61">
        <v>1630</v>
      </c>
      <c r="G14" s="62"/>
      <c r="H14" s="61">
        <f>F14*G14*0</f>
        <v>0</v>
      </c>
      <c r="I14" s="61">
        <f>F14*G14*(1-0)</f>
        <v>0</v>
      </c>
      <c r="J14" s="61">
        <f t="shared" si="0"/>
        <v>0</v>
      </c>
      <c r="K14" s="61">
        <v>0</v>
      </c>
      <c r="L14" s="63">
        <f>F14*K14</f>
        <v>0</v>
      </c>
    </row>
    <row r="15" spans="1:12" ht="12.75">
      <c r="A15" s="59" t="s">
        <v>9</v>
      </c>
      <c r="B15" s="60"/>
      <c r="C15" s="60" t="s">
        <v>61</v>
      </c>
      <c r="D15" s="60" t="s">
        <v>121</v>
      </c>
      <c r="E15" s="60" t="s">
        <v>188</v>
      </c>
      <c r="F15" s="61">
        <v>195</v>
      </c>
      <c r="G15" s="62"/>
      <c r="H15" s="61">
        <f>F15*G15*0</f>
        <v>0</v>
      </c>
      <c r="I15" s="61">
        <f>F15*G15*(1-0)</f>
        <v>0</v>
      </c>
      <c r="J15" s="61">
        <f t="shared" si="0"/>
        <v>0</v>
      </c>
      <c r="K15" s="61">
        <v>0</v>
      </c>
      <c r="L15" s="63">
        <f>F15*K15</f>
        <v>0</v>
      </c>
    </row>
    <row r="16" spans="1:12" ht="12.75">
      <c r="A16" s="64"/>
      <c r="B16" s="65"/>
      <c r="C16" s="66" t="s">
        <v>19</v>
      </c>
      <c r="D16" s="73" t="s">
        <v>122</v>
      </c>
      <c r="E16" s="74"/>
      <c r="F16" s="74"/>
      <c r="G16" s="74"/>
      <c r="H16" s="67">
        <f>SUM(H17:H18)</f>
        <v>0</v>
      </c>
      <c r="I16" s="67">
        <f>SUM(I17:I18)</f>
        <v>0</v>
      </c>
      <c r="J16" s="67">
        <f t="shared" si="0"/>
        <v>0</v>
      </c>
      <c r="K16" s="68"/>
      <c r="L16" s="69">
        <f>SUM(L17:L18)</f>
        <v>0</v>
      </c>
    </row>
    <row r="17" spans="1:12" ht="12.75">
      <c r="A17" s="59" t="s">
        <v>10</v>
      </c>
      <c r="B17" s="60"/>
      <c r="C17" s="60" t="s">
        <v>62</v>
      </c>
      <c r="D17" s="60" t="s">
        <v>123</v>
      </c>
      <c r="E17" s="60" t="s">
        <v>188</v>
      </c>
      <c r="F17" s="61">
        <v>136.1</v>
      </c>
      <c r="G17" s="62"/>
      <c r="H17" s="61">
        <f>F17*G17*0</f>
        <v>0</v>
      </c>
      <c r="I17" s="61">
        <f>F17*G17*(1-0)</f>
        <v>0</v>
      </c>
      <c r="J17" s="61">
        <f t="shared" si="0"/>
        <v>0</v>
      </c>
      <c r="K17" s="61">
        <v>0</v>
      </c>
      <c r="L17" s="63">
        <f>F17*K17</f>
        <v>0</v>
      </c>
    </row>
    <row r="18" spans="1:12" ht="12.75">
      <c r="A18" s="59" t="s">
        <v>11</v>
      </c>
      <c r="B18" s="60"/>
      <c r="C18" s="60" t="s">
        <v>63</v>
      </c>
      <c r="D18" s="60" t="s">
        <v>124</v>
      </c>
      <c r="E18" s="60" t="s">
        <v>188</v>
      </c>
      <c r="F18" s="61">
        <v>55.9</v>
      </c>
      <c r="G18" s="62"/>
      <c r="H18" s="61">
        <f>F18*G18*0</f>
        <v>0</v>
      </c>
      <c r="I18" s="61">
        <f>F18*G18*(1-0)</f>
        <v>0</v>
      </c>
      <c r="J18" s="61">
        <f t="shared" si="0"/>
        <v>0</v>
      </c>
      <c r="K18" s="61">
        <v>0</v>
      </c>
      <c r="L18" s="63">
        <f>F18*K18</f>
        <v>0</v>
      </c>
    </row>
    <row r="19" spans="1:12" ht="12.75">
      <c r="A19" s="64"/>
      <c r="B19" s="65"/>
      <c r="C19" s="66" t="s">
        <v>22</v>
      </c>
      <c r="D19" s="73" t="s">
        <v>125</v>
      </c>
      <c r="E19" s="74"/>
      <c r="F19" s="74"/>
      <c r="G19" s="74"/>
      <c r="H19" s="67">
        <f>SUM(H20:H23)</f>
        <v>0</v>
      </c>
      <c r="I19" s="67">
        <f>SUM(I20:I23)</f>
        <v>0</v>
      </c>
      <c r="J19" s="67">
        <f t="shared" si="0"/>
        <v>0</v>
      </c>
      <c r="K19" s="68"/>
      <c r="L19" s="69">
        <f>SUM(L20:L23)</f>
        <v>0</v>
      </c>
    </row>
    <row r="20" spans="1:12" ht="12.75">
      <c r="A20" s="59" t="s">
        <v>12</v>
      </c>
      <c r="B20" s="60"/>
      <c r="C20" s="60" t="s">
        <v>255</v>
      </c>
      <c r="D20" s="60" t="s">
        <v>256</v>
      </c>
      <c r="E20" s="60" t="s">
        <v>188</v>
      </c>
      <c r="F20" s="61">
        <v>192</v>
      </c>
      <c r="G20" s="62"/>
      <c r="H20" s="61">
        <f>F20*G20*0</f>
        <v>0</v>
      </c>
      <c r="I20" s="61">
        <f>F20*G20*(1-0)</f>
        <v>0</v>
      </c>
      <c r="J20" s="61">
        <f t="shared" si="0"/>
        <v>0</v>
      </c>
      <c r="K20" s="61">
        <v>0</v>
      </c>
      <c r="L20" s="63">
        <f>F20*K20</f>
        <v>0</v>
      </c>
    </row>
    <row r="21" spans="1:12" ht="12.75">
      <c r="A21" s="59" t="s">
        <v>13</v>
      </c>
      <c r="B21" s="60"/>
      <c r="C21" s="60" t="s">
        <v>64</v>
      </c>
      <c r="D21" s="60" t="s">
        <v>126</v>
      </c>
      <c r="E21" s="60" t="s">
        <v>188</v>
      </c>
      <c r="F21" s="61">
        <v>334</v>
      </c>
      <c r="G21" s="62"/>
      <c r="H21" s="61">
        <f>F21*G21*0</f>
        <v>0</v>
      </c>
      <c r="I21" s="61">
        <f>F21*G21*(1-0)</f>
        <v>0</v>
      </c>
      <c r="J21" s="61">
        <f t="shared" si="0"/>
        <v>0</v>
      </c>
      <c r="K21" s="61">
        <v>0</v>
      </c>
      <c r="L21" s="63">
        <f>F21*K21</f>
        <v>0</v>
      </c>
    </row>
    <row r="22" spans="1:12" ht="12.75">
      <c r="A22" s="59" t="s">
        <v>14</v>
      </c>
      <c r="B22" s="60"/>
      <c r="C22" s="60" t="s">
        <v>65</v>
      </c>
      <c r="D22" s="60" t="s">
        <v>127</v>
      </c>
      <c r="E22" s="60" t="s">
        <v>188</v>
      </c>
      <c r="F22" s="61">
        <v>1386</v>
      </c>
      <c r="G22" s="62"/>
      <c r="H22" s="61">
        <f>F22*G22*0</f>
        <v>0</v>
      </c>
      <c r="I22" s="61">
        <f>F22*G22*(1-0)</f>
        <v>0</v>
      </c>
      <c r="J22" s="61">
        <f t="shared" si="0"/>
        <v>0</v>
      </c>
      <c r="K22" s="61">
        <v>0</v>
      </c>
      <c r="L22" s="63">
        <f>F22*K22</f>
        <v>0</v>
      </c>
    </row>
    <row r="23" spans="1:12" ht="12.75">
      <c r="A23" s="59" t="s">
        <v>15</v>
      </c>
      <c r="B23" s="60"/>
      <c r="C23" s="60" t="s">
        <v>66</v>
      </c>
      <c r="D23" s="60" t="s">
        <v>128</v>
      </c>
      <c r="E23" s="60" t="s">
        <v>188</v>
      </c>
      <c r="F23" s="61">
        <v>111.5</v>
      </c>
      <c r="G23" s="62"/>
      <c r="H23" s="61">
        <f>F23*G23*0</f>
        <v>0</v>
      </c>
      <c r="I23" s="61">
        <f>F23*G23*(1-0)</f>
        <v>0</v>
      </c>
      <c r="J23" s="61">
        <f t="shared" si="0"/>
        <v>0</v>
      </c>
      <c r="K23" s="61">
        <v>0</v>
      </c>
      <c r="L23" s="63">
        <f>F23*K23</f>
        <v>0</v>
      </c>
    </row>
    <row r="24" spans="1:12" ht="12.75">
      <c r="A24" s="64"/>
      <c r="B24" s="65"/>
      <c r="C24" s="66" t="s">
        <v>23</v>
      </c>
      <c r="D24" s="73" t="s">
        <v>129</v>
      </c>
      <c r="E24" s="74"/>
      <c r="F24" s="74"/>
      <c r="G24" s="74"/>
      <c r="H24" s="67">
        <f>SUM(H25:H28)</f>
        <v>0</v>
      </c>
      <c r="I24" s="67">
        <f>SUM(I25:I28)</f>
        <v>0</v>
      </c>
      <c r="J24" s="67">
        <f t="shared" si="0"/>
        <v>0</v>
      </c>
      <c r="K24" s="68"/>
      <c r="L24" s="69">
        <f>SUM(L25:L28)</f>
        <v>0</v>
      </c>
    </row>
    <row r="25" spans="1:12" ht="12.75">
      <c r="A25" s="59" t="s">
        <v>16</v>
      </c>
      <c r="B25" s="60"/>
      <c r="C25" s="60" t="s">
        <v>67</v>
      </c>
      <c r="D25" s="60" t="s">
        <v>130</v>
      </c>
      <c r="E25" s="60" t="s">
        <v>188</v>
      </c>
      <c r="F25" s="61">
        <v>114</v>
      </c>
      <c r="G25" s="62"/>
      <c r="H25" s="61">
        <f>F25*G25*0</f>
        <v>0</v>
      </c>
      <c r="I25" s="61">
        <f>F25*G25*(1-0)</f>
        <v>0</v>
      </c>
      <c r="J25" s="61">
        <f t="shared" si="0"/>
        <v>0</v>
      </c>
      <c r="K25" s="61">
        <v>0</v>
      </c>
      <c r="L25" s="63">
        <f>F25*K25</f>
        <v>0</v>
      </c>
    </row>
    <row r="26" spans="1:12" ht="12.75">
      <c r="A26" s="59" t="s">
        <v>17</v>
      </c>
      <c r="B26" s="60"/>
      <c r="C26" s="60" t="s">
        <v>68</v>
      </c>
      <c r="D26" s="60" t="s">
        <v>131</v>
      </c>
      <c r="E26" s="60" t="s">
        <v>188</v>
      </c>
      <c r="F26" s="61">
        <v>1720</v>
      </c>
      <c r="G26" s="62"/>
      <c r="H26" s="61">
        <f>F26*G26*0</f>
        <v>0</v>
      </c>
      <c r="I26" s="61">
        <f>F26*G26*(1-0)</f>
        <v>0</v>
      </c>
      <c r="J26" s="61">
        <f t="shared" si="0"/>
        <v>0</v>
      </c>
      <c r="K26" s="61">
        <v>0</v>
      </c>
      <c r="L26" s="63">
        <f>F26*K26</f>
        <v>0</v>
      </c>
    </row>
    <row r="27" spans="1:12" ht="12.75">
      <c r="A27" s="59" t="s">
        <v>18</v>
      </c>
      <c r="B27" s="60"/>
      <c r="C27" s="60" t="s">
        <v>69</v>
      </c>
      <c r="D27" s="60" t="s">
        <v>132</v>
      </c>
      <c r="E27" s="60" t="s">
        <v>188</v>
      </c>
      <c r="F27" s="61">
        <v>157.8</v>
      </c>
      <c r="G27" s="62"/>
      <c r="H27" s="61">
        <f>F27*G27*0</f>
        <v>0</v>
      </c>
      <c r="I27" s="61">
        <f>F27*G27*(1-0)</f>
        <v>0</v>
      </c>
      <c r="J27" s="61">
        <f t="shared" si="0"/>
        <v>0</v>
      </c>
      <c r="K27" s="61">
        <v>0</v>
      </c>
      <c r="L27" s="63">
        <f>F27*K27</f>
        <v>0</v>
      </c>
    </row>
    <row r="28" spans="1:12" ht="12.75">
      <c r="A28" s="59" t="s">
        <v>19</v>
      </c>
      <c r="B28" s="60"/>
      <c r="C28" s="60" t="s">
        <v>70</v>
      </c>
      <c r="D28" s="60" t="s">
        <v>133</v>
      </c>
      <c r="E28" s="60" t="s">
        <v>188</v>
      </c>
      <c r="F28" s="61">
        <v>269.1</v>
      </c>
      <c r="G28" s="62"/>
      <c r="H28" s="61">
        <f>F28*G28*0</f>
        <v>0</v>
      </c>
      <c r="I28" s="61">
        <f>F28*G28*(1-0)</f>
        <v>0</v>
      </c>
      <c r="J28" s="61">
        <f t="shared" si="0"/>
        <v>0</v>
      </c>
      <c r="K28" s="61">
        <v>0</v>
      </c>
      <c r="L28" s="63">
        <f>F28*K28</f>
        <v>0</v>
      </c>
    </row>
    <row r="29" spans="1:12" ht="12.75">
      <c r="A29" s="64"/>
      <c r="B29" s="65"/>
      <c r="C29" s="66" t="s">
        <v>24</v>
      </c>
      <c r="D29" s="73" t="s">
        <v>134</v>
      </c>
      <c r="E29" s="74"/>
      <c r="F29" s="74"/>
      <c r="G29" s="74"/>
      <c r="H29" s="67">
        <f>SUM(H30:H35)</f>
        <v>0</v>
      </c>
      <c r="I29" s="67">
        <f>SUM(I30:I35)</f>
        <v>0</v>
      </c>
      <c r="J29" s="67">
        <f t="shared" si="0"/>
        <v>0</v>
      </c>
      <c r="K29" s="68"/>
      <c r="L29" s="69">
        <f>SUM(L30:L35)</f>
        <v>0</v>
      </c>
    </row>
    <row r="30" spans="1:12" ht="12.75">
      <c r="A30" s="59" t="s">
        <v>20</v>
      </c>
      <c r="B30" s="60"/>
      <c r="C30" s="60" t="s">
        <v>71</v>
      </c>
      <c r="D30" s="60" t="s">
        <v>135</v>
      </c>
      <c r="E30" s="60" t="s">
        <v>189</v>
      </c>
      <c r="F30" s="61">
        <v>2987</v>
      </c>
      <c r="G30" s="62"/>
      <c r="H30" s="61">
        <f>F30*G30*0.0324288550628723</f>
        <v>0</v>
      </c>
      <c r="I30" s="61">
        <f>F30*G30*(1-0.0324288550628723)</f>
        <v>0</v>
      </c>
      <c r="J30" s="61">
        <f t="shared" si="0"/>
        <v>0</v>
      </c>
      <c r="K30" s="61">
        <v>0</v>
      </c>
      <c r="L30" s="63">
        <f aca="true" t="shared" si="1" ref="L30:L35">F30*K30</f>
        <v>0</v>
      </c>
    </row>
    <row r="31" spans="1:12" ht="12.75">
      <c r="A31" s="59" t="s">
        <v>21</v>
      </c>
      <c r="B31" s="60"/>
      <c r="C31" s="60" t="s">
        <v>72</v>
      </c>
      <c r="D31" s="60" t="s">
        <v>136</v>
      </c>
      <c r="E31" s="60" t="s">
        <v>189</v>
      </c>
      <c r="F31" s="61">
        <v>7740.6</v>
      </c>
      <c r="G31" s="62"/>
      <c r="H31" s="61">
        <f>F31*G31*0</f>
        <v>0</v>
      </c>
      <c r="I31" s="61">
        <f>F31*G31*(1-0)</f>
        <v>0</v>
      </c>
      <c r="J31" s="61">
        <f t="shared" si="0"/>
        <v>0</v>
      </c>
      <c r="K31" s="61">
        <v>0</v>
      </c>
      <c r="L31" s="63">
        <f t="shared" si="1"/>
        <v>0</v>
      </c>
    </row>
    <row r="32" spans="1:12" ht="12.75">
      <c r="A32" s="59" t="s">
        <v>22</v>
      </c>
      <c r="B32" s="60"/>
      <c r="C32" s="60" t="s">
        <v>73</v>
      </c>
      <c r="D32" s="60" t="s">
        <v>137</v>
      </c>
      <c r="E32" s="60" t="s">
        <v>189</v>
      </c>
      <c r="F32" s="61">
        <v>1690</v>
      </c>
      <c r="G32" s="62"/>
      <c r="H32" s="61">
        <f>F32*G32*0</f>
        <v>0</v>
      </c>
      <c r="I32" s="61">
        <f>F32*G32*(1-0)</f>
        <v>0</v>
      </c>
      <c r="J32" s="61">
        <f t="shared" si="0"/>
        <v>0</v>
      </c>
      <c r="K32" s="61">
        <v>0</v>
      </c>
      <c r="L32" s="63">
        <f t="shared" si="1"/>
        <v>0</v>
      </c>
    </row>
    <row r="33" spans="1:12" ht="12.75">
      <c r="A33" s="59" t="s">
        <v>23</v>
      </c>
      <c r="B33" s="60"/>
      <c r="C33" s="60" t="s">
        <v>74</v>
      </c>
      <c r="D33" s="60" t="s">
        <v>138</v>
      </c>
      <c r="E33" s="60" t="s">
        <v>189</v>
      </c>
      <c r="F33" s="61">
        <v>525</v>
      </c>
      <c r="G33" s="62"/>
      <c r="H33" s="61">
        <f>F33*G33*0</f>
        <v>0</v>
      </c>
      <c r="I33" s="61">
        <f>F33*G33*(1-0)</f>
        <v>0</v>
      </c>
      <c r="J33" s="61">
        <f t="shared" si="0"/>
        <v>0</v>
      </c>
      <c r="K33" s="61">
        <v>0</v>
      </c>
      <c r="L33" s="63">
        <f t="shared" si="1"/>
        <v>0</v>
      </c>
    </row>
    <row r="34" spans="1:12" ht="12.75">
      <c r="A34" s="59" t="s">
        <v>24</v>
      </c>
      <c r="B34" s="60"/>
      <c r="C34" s="60" t="s">
        <v>75</v>
      </c>
      <c r="D34" s="60" t="s">
        <v>139</v>
      </c>
      <c r="E34" s="60" t="s">
        <v>189</v>
      </c>
      <c r="F34" s="61">
        <v>2987</v>
      </c>
      <c r="G34" s="62"/>
      <c r="H34" s="61">
        <f>F34*G34*0</f>
        <v>0</v>
      </c>
      <c r="I34" s="61">
        <f>F34*G34*(1-0)</f>
        <v>0</v>
      </c>
      <c r="J34" s="61">
        <f t="shared" si="0"/>
        <v>0</v>
      </c>
      <c r="K34" s="61">
        <v>0</v>
      </c>
      <c r="L34" s="63">
        <f t="shared" si="1"/>
        <v>0</v>
      </c>
    </row>
    <row r="35" spans="1:12" ht="12.75">
      <c r="A35" s="59" t="s">
        <v>25</v>
      </c>
      <c r="B35" s="60"/>
      <c r="C35" s="60" t="s">
        <v>76</v>
      </c>
      <c r="D35" s="60" t="s">
        <v>140</v>
      </c>
      <c r="E35" s="60" t="s">
        <v>189</v>
      </c>
      <c r="F35" s="61">
        <v>2987</v>
      </c>
      <c r="G35" s="62"/>
      <c r="H35" s="61">
        <f>F35*G35*0</f>
        <v>0</v>
      </c>
      <c r="I35" s="61">
        <f>F35*G35*(1-0)</f>
        <v>0</v>
      </c>
      <c r="J35" s="61">
        <f t="shared" si="0"/>
        <v>0</v>
      </c>
      <c r="K35" s="61">
        <v>0</v>
      </c>
      <c r="L35" s="63">
        <f t="shared" si="1"/>
        <v>0</v>
      </c>
    </row>
    <row r="36" spans="1:12" ht="12.75">
      <c r="A36" s="64"/>
      <c r="B36" s="65"/>
      <c r="C36" s="66" t="s">
        <v>37</v>
      </c>
      <c r="D36" s="73" t="s">
        <v>141</v>
      </c>
      <c r="E36" s="74"/>
      <c r="F36" s="74"/>
      <c r="G36" s="74"/>
      <c r="H36" s="67">
        <f>SUM(H37:H37)</f>
        <v>0</v>
      </c>
      <c r="I36" s="67">
        <f>SUM(I37:I37)</f>
        <v>0</v>
      </c>
      <c r="J36" s="67">
        <f t="shared" si="0"/>
        <v>0</v>
      </c>
      <c r="K36" s="68"/>
      <c r="L36" s="69">
        <f>SUM(L37:L37)</f>
        <v>0.014014</v>
      </c>
    </row>
    <row r="37" spans="1:12" ht="12.75">
      <c r="A37" s="59" t="s">
        <v>26</v>
      </c>
      <c r="B37" s="60"/>
      <c r="C37" s="60" t="s">
        <v>77</v>
      </c>
      <c r="D37" s="60" t="s">
        <v>142</v>
      </c>
      <c r="E37" s="60" t="s">
        <v>190</v>
      </c>
      <c r="F37" s="61">
        <v>0.013</v>
      </c>
      <c r="G37" s="62"/>
      <c r="H37" s="61">
        <f>F37*G37*0.582404638941741</f>
        <v>0</v>
      </c>
      <c r="I37" s="61">
        <f>F37*G37*(1-0.582404638941741)</f>
        <v>0</v>
      </c>
      <c r="J37" s="61">
        <f t="shared" si="0"/>
        <v>0</v>
      </c>
      <c r="K37" s="61">
        <v>1.078</v>
      </c>
      <c r="L37" s="63">
        <f>F37*K37</f>
        <v>0.014014</v>
      </c>
    </row>
    <row r="38" spans="1:12" ht="12.75">
      <c r="A38" s="64"/>
      <c r="B38" s="65"/>
      <c r="C38" s="66" t="s">
        <v>38</v>
      </c>
      <c r="D38" s="73" t="s">
        <v>143</v>
      </c>
      <c r="E38" s="74"/>
      <c r="F38" s="74"/>
      <c r="G38" s="74"/>
      <c r="H38" s="67">
        <f>SUM(H39:H41)</f>
        <v>0</v>
      </c>
      <c r="I38" s="67">
        <f>SUM(I39:I41)</f>
        <v>0</v>
      </c>
      <c r="J38" s="67">
        <f t="shared" si="0"/>
        <v>0</v>
      </c>
      <c r="K38" s="68"/>
      <c r="L38" s="69">
        <f>SUM(L39:L41)</f>
        <v>8.069440000000002</v>
      </c>
    </row>
    <row r="39" spans="1:12" ht="12.75">
      <c r="A39" s="59" t="s">
        <v>27</v>
      </c>
      <c r="B39" s="60"/>
      <c r="C39" s="60" t="s">
        <v>78</v>
      </c>
      <c r="D39" s="60" t="s">
        <v>144</v>
      </c>
      <c r="E39" s="60" t="s">
        <v>188</v>
      </c>
      <c r="F39" s="61">
        <v>2.72</v>
      </c>
      <c r="G39" s="62"/>
      <c r="H39" s="61">
        <f>F39*G39*0.780613725978746</f>
        <v>0</v>
      </c>
      <c r="I39" s="61">
        <f>F39*G39*(1-0.780613725978746)</f>
        <v>0</v>
      </c>
      <c r="J39" s="61">
        <f t="shared" si="0"/>
        <v>0</v>
      </c>
      <c r="K39" s="61">
        <v>2.894</v>
      </c>
      <c r="L39" s="63">
        <f>F39*K39</f>
        <v>7.871680000000001</v>
      </c>
    </row>
    <row r="40" spans="1:12" ht="12.75">
      <c r="A40" s="59" t="s">
        <v>28</v>
      </c>
      <c r="B40" s="60"/>
      <c r="C40" s="60" t="s">
        <v>79</v>
      </c>
      <c r="D40" s="60" t="s">
        <v>145</v>
      </c>
      <c r="E40" s="60" t="s">
        <v>189</v>
      </c>
      <c r="F40" s="61">
        <v>12.8</v>
      </c>
      <c r="G40" s="62"/>
      <c r="H40" s="61">
        <f>F40*G40*0.224190710819202</f>
        <v>0</v>
      </c>
      <c r="I40" s="61">
        <f>F40*G40*(1-0.224190710819202)</f>
        <v>0</v>
      </c>
      <c r="J40" s="61">
        <f t="shared" si="0"/>
        <v>0</v>
      </c>
      <c r="K40" s="61">
        <v>0.01445</v>
      </c>
      <c r="L40" s="63">
        <f>F40*K40</f>
        <v>0.18496</v>
      </c>
    </row>
    <row r="41" spans="1:12" ht="12.75">
      <c r="A41" s="59" t="s">
        <v>29</v>
      </c>
      <c r="B41" s="60"/>
      <c r="C41" s="60" t="s">
        <v>80</v>
      </c>
      <c r="D41" s="60" t="s">
        <v>146</v>
      </c>
      <c r="E41" s="60" t="s">
        <v>189</v>
      </c>
      <c r="F41" s="61">
        <v>12.8</v>
      </c>
      <c r="G41" s="62"/>
      <c r="H41" s="61">
        <f>F41*G41*0.211907337635692</f>
        <v>0</v>
      </c>
      <c r="I41" s="61">
        <f>F41*G41*(1-0.211907337635692)</f>
        <v>0</v>
      </c>
      <c r="J41" s="61">
        <f t="shared" si="0"/>
        <v>0</v>
      </c>
      <c r="K41" s="61">
        <v>0.001</v>
      </c>
      <c r="L41" s="63">
        <f>F41*K41</f>
        <v>0.0128</v>
      </c>
    </row>
    <row r="42" spans="1:12" ht="12.75">
      <c r="A42" s="64"/>
      <c r="B42" s="65"/>
      <c r="C42" s="66" t="s">
        <v>51</v>
      </c>
      <c r="D42" s="73" t="s">
        <v>147</v>
      </c>
      <c r="E42" s="74"/>
      <c r="F42" s="74"/>
      <c r="G42" s="74"/>
      <c r="H42" s="67">
        <f>SUM(H43:H47)</f>
        <v>0</v>
      </c>
      <c r="I42" s="67">
        <f>SUM(I43:I47)</f>
        <v>0</v>
      </c>
      <c r="J42" s="67">
        <f t="shared" si="0"/>
        <v>0</v>
      </c>
      <c r="K42" s="68"/>
      <c r="L42" s="69">
        <f>SUM(L43:L47)</f>
        <v>54.46060000000001</v>
      </c>
    </row>
    <row r="43" spans="1:12" ht="12.75">
      <c r="A43" s="59" t="s">
        <v>30</v>
      </c>
      <c r="B43" s="60"/>
      <c r="C43" s="60" t="s">
        <v>81</v>
      </c>
      <c r="D43" s="60" t="s">
        <v>148</v>
      </c>
      <c r="E43" s="60" t="s">
        <v>189</v>
      </c>
      <c r="F43" s="61">
        <v>33</v>
      </c>
      <c r="G43" s="62"/>
      <c r="H43" s="61">
        <f>F43*G43*0.829029584289722</f>
        <v>0</v>
      </c>
      <c r="I43" s="61">
        <f>F43*G43*(1-0.829029584289722)</f>
        <v>0</v>
      </c>
      <c r="J43" s="61">
        <f t="shared" si="0"/>
        <v>0</v>
      </c>
      <c r="K43" s="61">
        <v>0.248</v>
      </c>
      <c r="L43" s="63">
        <f>F43*K43</f>
        <v>8.184</v>
      </c>
    </row>
    <row r="44" spans="1:12" ht="12.75">
      <c r="A44" s="59" t="s">
        <v>31</v>
      </c>
      <c r="B44" s="60"/>
      <c r="C44" s="60" t="s">
        <v>82</v>
      </c>
      <c r="D44" s="60" t="s">
        <v>149</v>
      </c>
      <c r="E44" s="60" t="s">
        <v>189</v>
      </c>
      <c r="F44" s="61">
        <v>17.2</v>
      </c>
      <c r="G44" s="62"/>
      <c r="H44" s="61">
        <f>F44*G44*0.590285607943163</f>
        <v>0</v>
      </c>
      <c r="I44" s="61">
        <f>F44*G44*(1-0.590285607943163)</f>
        <v>0</v>
      </c>
      <c r="J44" s="61">
        <f aca="true" t="shared" si="2" ref="J44:J75">H44+I44</f>
        <v>0</v>
      </c>
      <c r="K44" s="61">
        <v>0.213</v>
      </c>
      <c r="L44" s="63">
        <f>F44*K44</f>
        <v>3.6635999999999997</v>
      </c>
    </row>
    <row r="45" spans="1:12" ht="12.75">
      <c r="A45" s="59" t="s">
        <v>32</v>
      </c>
      <c r="B45" s="60"/>
      <c r="C45" s="60" t="s">
        <v>83</v>
      </c>
      <c r="D45" s="60" t="s">
        <v>150</v>
      </c>
      <c r="E45" s="60" t="s">
        <v>188</v>
      </c>
      <c r="F45" s="61">
        <v>17.8</v>
      </c>
      <c r="G45" s="62"/>
      <c r="H45" s="61">
        <f>F45*G45*0.684483639378427</f>
        <v>0</v>
      </c>
      <c r="I45" s="61">
        <f>F45*G45*(1-0.684483639378427)</f>
        <v>0</v>
      </c>
      <c r="J45" s="61">
        <f t="shared" si="2"/>
        <v>0</v>
      </c>
      <c r="K45" s="61">
        <v>1.891</v>
      </c>
      <c r="L45" s="63">
        <f>F45*K45</f>
        <v>33.659800000000004</v>
      </c>
    </row>
    <row r="46" spans="1:12" ht="12.75">
      <c r="A46" s="59" t="s">
        <v>33</v>
      </c>
      <c r="B46" s="60"/>
      <c r="C46" s="60" t="s">
        <v>84</v>
      </c>
      <c r="D46" s="60" t="s">
        <v>151</v>
      </c>
      <c r="E46" s="60" t="s">
        <v>188</v>
      </c>
      <c r="F46" s="61">
        <v>9.5</v>
      </c>
      <c r="G46" s="62"/>
      <c r="H46" s="61">
        <f>F46*G46*0</f>
        <v>0</v>
      </c>
      <c r="I46" s="61">
        <f>F46*G46*(1-0)</f>
        <v>0</v>
      </c>
      <c r="J46" s="61">
        <f t="shared" si="2"/>
        <v>0</v>
      </c>
      <c r="K46" s="61">
        <v>0</v>
      </c>
      <c r="L46" s="63">
        <f>F46*K46</f>
        <v>0</v>
      </c>
    </row>
    <row r="47" spans="1:12" ht="12.75">
      <c r="A47" s="59" t="s">
        <v>34</v>
      </c>
      <c r="B47" s="60"/>
      <c r="C47" s="60" t="s">
        <v>85</v>
      </c>
      <c r="D47" s="60" t="s">
        <v>152</v>
      </c>
      <c r="E47" s="60" t="s">
        <v>188</v>
      </c>
      <c r="F47" s="61">
        <v>3.6</v>
      </c>
      <c r="G47" s="62"/>
      <c r="H47" s="61">
        <f>F47*G47*0.841302878788591</f>
        <v>0</v>
      </c>
      <c r="I47" s="61">
        <f>F47*G47*(1-0.841302878788591)</f>
        <v>0</v>
      </c>
      <c r="J47" s="61">
        <f t="shared" si="2"/>
        <v>0</v>
      </c>
      <c r="K47" s="61">
        <v>2.487</v>
      </c>
      <c r="L47" s="63">
        <f>F47*K47</f>
        <v>8.9532</v>
      </c>
    </row>
    <row r="48" spans="1:12" ht="12.75">
      <c r="A48" s="64"/>
      <c r="B48" s="65"/>
      <c r="C48" s="66" t="s">
        <v>52</v>
      </c>
      <c r="D48" s="73" t="s">
        <v>153</v>
      </c>
      <c r="E48" s="74"/>
      <c r="F48" s="74"/>
      <c r="G48" s="74"/>
      <c r="H48" s="67">
        <f>SUM(H49:H51)</f>
        <v>0</v>
      </c>
      <c r="I48" s="67">
        <f>SUM(I49:I51)</f>
        <v>0</v>
      </c>
      <c r="J48" s="67">
        <f t="shared" si="2"/>
        <v>0</v>
      </c>
      <c r="K48" s="68"/>
      <c r="L48" s="69">
        <f>SUM(L49:L51)</f>
        <v>24.110200000000003</v>
      </c>
    </row>
    <row r="49" spans="1:12" ht="12.75">
      <c r="A49" s="59" t="s">
        <v>35</v>
      </c>
      <c r="B49" s="60"/>
      <c r="C49" s="60" t="s">
        <v>86</v>
      </c>
      <c r="D49" s="60" t="s">
        <v>154</v>
      </c>
      <c r="E49" s="60" t="s">
        <v>188</v>
      </c>
      <c r="F49" s="61">
        <v>0.5</v>
      </c>
      <c r="G49" s="62"/>
      <c r="H49" s="61">
        <f>F49*G49*0.423705319376637</f>
        <v>0</v>
      </c>
      <c r="I49" s="61">
        <f>F49*G49*(1-0.423705319376637)</f>
        <v>0</v>
      </c>
      <c r="J49" s="61">
        <f t="shared" si="2"/>
        <v>0</v>
      </c>
      <c r="K49" s="61">
        <v>2.033</v>
      </c>
      <c r="L49" s="63">
        <f>F49*K49</f>
        <v>1.0165</v>
      </c>
    </row>
    <row r="50" spans="1:12" ht="12.75">
      <c r="A50" s="59" t="s">
        <v>36</v>
      </c>
      <c r="B50" s="60"/>
      <c r="C50" s="60" t="s">
        <v>87</v>
      </c>
      <c r="D50" s="60" t="s">
        <v>155</v>
      </c>
      <c r="E50" s="60" t="s">
        <v>189</v>
      </c>
      <c r="F50" s="61">
        <v>15.6</v>
      </c>
      <c r="G50" s="62"/>
      <c r="H50" s="61">
        <f>F50*G50*0.555862114311292</f>
        <v>0</v>
      </c>
      <c r="I50" s="61">
        <f>F50*G50*(1-0.555862114311292)</f>
        <v>0</v>
      </c>
      <c r="J50" s="61">
        <f t="shared" si="2"/>
        <v>0</v>
      </c>
      <c r="K50" s="61">
        <v>0.433</v>
      </c>
      <c r="L50" s="63">
        <f>F50*K50</f>
        <v>6.7547999999999995</v>
      </c>
    </row>
    <row r="51" spans="1:12" ht="12.75">
      <c r="A51" s="59" t="s">
        <v>37</v>
      </c>
      <c r="B51" s="60"/>
      <c r="C51" s="60" t="s">
        <v>88</v>
      </c>
      <c r="D51" s="60" t="s">
        <v>156</v>
      </c>
      <c r="E51" s="60" t="s">
        <v>189</v>
      </c>
      <c r="F51" s="61">
        <v>32.1</v>
      </c>
      <c r="G51" s="62"/>
      <c r="H51" s="61">
        <f>F51*G51*0.473494026696899</f>
        <v>0</v>
      </c>
      <c r="I51" s="61">
        <f>F51*G51*(1-0.473494026696899)</f>
        <v>0</v>
      </c>
      <c r="J51" s="61">
        <f t="shared" si="2"/>
        <v>0</v>
      </c>
      <c r="K51" s="61">
        <v>0.509</v>
      </c>
      <c r="L51" s="63">
        <f>F51*K51</f>
        <v>16.338900000000002</v>
      </c>
    </row>
    <row r="52" spans="1:12" ht="12.75">
      <c r="A52" s="64"/>
      <c r="B52" s="65"/>
      <c r="C52" s="66" t="s">
        <v>89</v>
      </c>
      <c r="D52" s="73" t="s">
        <v>157</v>
      </c>
      <c r="E52" s="74"/>
      <c r="F52" s="74"/>
      <c r="G52" s="74"/>
      <c r="H52" s="67">
        <f>SUM(H53:H56)</f>
        <v>0</v>
      </c>
      <c r="I52" s="67">
        <f>SUM(I53:I56)</f>
        <v>0</v>
      </c>
      <c r="J52" s="67">
        <f t="shared" si="2"/>
        <v>0</v>
      </c>
      <c r="K52" s="68"/>
      <c r="L52" s="69">
        <f>SUM(L53:L56)</f>
        <v>3980.1443299999996</v>
      </c>
    </row>
    <row r="53" spans="1:12" ht="12.75">
      <c r="A53" s="59" t="s">
        <v>38</v>
      </c>
      <c r="B53" s="60"/>
      <c r="C53" s="60" t="s">
        <v>90</v>
      </c>
      <c r="D53" s="60" t="s">
        <v>158</v>
      </c>
      <c r="E53" s="60" t="s">
        <v>189</v>
      </c>
      <c r="F53" s="61">
        <v>5597</v>
      </c>
      <c r="G53" s="62"/>
      <c r="H53" s="61">
        <f>F53*G53*0.880301098268274</f>
        <v>0</v>
      </c>
      <c r="I53" s="61">
        <f>F53*G53*(1-0.880301098268274)</f>
        <v>0</v>
      </c>
      <c r="J53" s="61">
        <f t="shared" si="2"/>
        <v>0</v>
      </c>
      <c r="K53" s="61">
        <v>0.51166</v>
      </c>
      <c r="L53" s="63">
        <f>F53*K53</f>
        <v>2863.76102</v>
      </c>
    </row>
    <row r="54" spans="1:12" ht="12.75">
      <c r="A54" s="59" t="s">
        <v>39</v>
      </c>
      <c r="B54" s="60"/>
      <c r="C54" s="60" t="s">
        <v>91</v>
      </c>
      <c r="D54" s="60" t="s">
        <v>159</v>
      </c>
      <c r="E54" s="60" t="s">
        <v>189</v>
      </c>
      <c r="F54" s="61">
        <v>4758</v>
      </c>
      <c r="G54" s="62"/>
      <c r="H54" s="61">
        <f>F54*G54*0</f>
        <v>0</v>
      </c>
      <c r="I54" s="61">
        <f>F54*G54*(1-0)</f>
        <v>0</v>
      </c>
      <c r="J54" s="61">
        <f t="shared" si="2"/>
        <v>0</v>
      </c>
      <c r="K54" s="61">
        <v>0.15826</v>
      </c>
      <c r="L54" s="63">
        <f>F54*K54</f>
        <v>753.00108</v>
      </c>
    </row>
    <row r="55" spans="1:12" ht="12.75">
      <c r="A55" s="59" t="s">
        <v>40</v>
      </c>
      <c r="B55" s="60"/>
      <c r="C55" s="60" t="s">
        <v>92</v>
      </c>
      <c r="D55" s="60" t="s">
        <v>160</v>
      </c>
      <c r="E55" s="60" t="s">
        <v>189</v>
      </c>
      <c r="F55" s="61">
        <v>600</v>
      </c>
      <c r="G55" s="62"/>
      <c r="H55" s="61">
        <f>F55*G55*0.0141983829619404</f>
        <v>0</v>
      </c>
      <c r="I55" s="61">
        <f>F55*G55*(1-0.0141983829619404)</f>
        <v>0</v>
      </c>
      <c r="J55" s="61">
        <f t="shared" si="2"/>
        <v>0</v>
      </c>
      <c r="K55" s="61">
        <v>0.02181</v>
      </c>
      <c r="L55" s="63">
        <f>F55*K55</f>
        <v>13.086</v>
      </c>
    </row>
    <row r="56" spans="1:12" ht="12.75">
      <c r="A56" s="59" t="s">
        <v>41</v>
      </c>
      <c r="B56" s="60"/>
      <c r="C56" s="60" t="s">
        <v>93</v>
      </c>
      <c r="D56" s="60" t="s">
        <v>161</v>
      </c>
      <c r="E56" s="60" t="s">
        <v>189</v>
      </c>
      <c r="F56" s="61">
        <v>1227</v>
      </c>
      <c r="G56" s="62"/>
      <c r="H56" s="61">
        <f>F56*G56*0.842696629213483</f>
        <v>0</v>
      </c>
      <c r="I56" s="61">
        <f>F56*G56*(1-0.842696629213483)</f>
        <v>0</v>
      </c>
      <c r="J56" s="61">
        <f t="shared" si="2"/>
        <v>0</v>
      </c>
      <c r="K56" s="61">
        <v>0.28549</v>
      </c>
      <c r="L56" s="63">
        <f>F56*K56</f>
        <v>350.29623000000004</v>
      </c>
    </row>
    <row r="57" spans="1:12" ht="12.75">
      <c r="A57" s="64"/>
      <c r="B57" s="65"/>
      <c r="C57" s="66" t="s">
        <v>94</v>
      </c>
      <c r="D57" s="73" t="s">
        <v>162</v>
      </c>
      <c r="E57" s="74"/>
      <c r="F57" s="74"/>
      <c r="G57" s="74"/>
      <c r="H57" s="67">
        <f>SUM(H58:H59)</f>
        <v>0</v>
      </c>
      <c r="I57" s="67">
        <f>SUM(I58:I59)</f>
        <v>0</v>
      </c>
      <c r="J57" s="67">
        <f t="shared" si="2"/>
        <v>0</v>
      </c>
      <c r="K57" s="68"/>
      <c r="L57" s="69">
        <f>SUM(L58:L59)</f>
        <v>474.66553000000005</v>
      </c>
    </row>
    <row r="58" spans="1:12" ht="12.75">
      <c r="A58" s="59" t="s">
        <v>42</v>
      </c>
      <c r="B58" s="60"/>
      <c r="C58" s="60" t="s">
        <v>95</v>
      </c>
      <c r="D58" s="60" t="s">
        <v>163</v>
      </c>
      <c r="E58" s="60" t="s">
        <v>189</v>
      </c>
      <c r="F58" s="61">
        <v>4671</v>
      </c>
      <c r="G58" s="62"/>
      <c r="H58" s="61">
        <f>F58*G58*0.898701298701299</f>
        <v>0</v>
      </c>
      <c r="I58" s="61">
        <f>F58*G58*(1-0.898701298701299)</f>
        <v>0</v>
      </c>
      <c r="J58" s="61">
        <f t="shared" si="2"/>
        <v>0</v>
      </c>
      <c r="K58" s="61">
        <v>0.00071</v>
      </c>
      <c r="L58" s="63">
        <f>F58*K58</f>
        <v>3.3164100000000003</v>
      </c>
    </row>
    <row r="59" spans="1:12" ht="12.75">
      <c r="A59" s="59" t="s">
        <v>43</v>
      </c>
      <c r="B59" s="60"/>
      <c r="C59" s="60" t="s">
        <v>96</v>
      </c>
      <c r="D59" s="60" t="s">
        <v>164</v>
      </c>
      <c r="E59" s="60"/>
      <c r="F59" s="61">
        <v>4544</v>
      </c>
      <c r="G59" s="62"/>
      <c r="H59" s="61">
        <f>F59*G59*0</f>
        <v>0</v>
      </c>
      <c r="I59" s="61">
        <f>F59*G59*(1-0)</f>
        <v>0</v>
      </c>
      <c r="J59" s="61">
        <f t="shared" si="2"/>
        <v>0</v>
      </c>
      <c r="K59" s="61">
        <v>0.10373</v>
      </c>
      <c r="L59" s="63">
        <f>F59*K59</f>
        <v>471.34912</v>
      </c>
    </row>
    <row r="60" spans="1:12" ht="12.75">
      <c r="A60" s="64"/>
      <c r="B60" s="65"/>
      <c r="C60" s="66" t="s">
        <v>97</v>
      </c>
      <c r="D60" s="73" t="s">
        <v>165</v>
      </c>
      <c r="E60" s="74"/>
      <c r="F60" s="74"/>
      <c r="G60" s="74"/>
      <c r="H60" s="67">
        <f>SUM(H61:H61)</f>
        <v>0</v>
      </c>
      <c r="I60" s="67">
        <f>SUM(I61:I61)</f>
        <v>0</v>
      </c>
      <c r="J60" s="67">
        <f t="shared" si="2"/>
        <v>0</v>
      </c>
      <c r="K60" s="68"/>
      <c r="L60" s="69">
        <f>SUM(L61:L61)</f>
        <v>0</v>
      </c>
    </row>
    <row r="61" spans="1:12" ht="12.75">
      <c r="A61" s="59" t="s">
        <v>44</v>
      </c>
      <c r="B61" s="60"/>
      <c r="C61" s="60" t="s">
        <v>98</v>
      </c>
      <c r="D61" s="60" t="s">
        <v>166</v>
      </c>
      <c r="E61" s="60" t="s">
        <v>191</v>
      </c>
      <c r="F61" s="61">
        <v>105</v>
      </c>
      <c r="G61" s="62"/>
      <c r="H61" s="61">
        <f>F61*G61*0</f>
        <v>0</v>
      </c>
      <c r="I61" s="61">
        <f>F61*G61*(1-0)</f>
        <v>0</v>
      </c>
      <c r="J61" s="61">
        <f t="shared" si="2"/>
        <v>0</v>
      </c>
      <c r="K61" s="61">
        <v>0</v>
      </c>
      <c r="L61" s="63">
        <f>F61*K61</f>
        <v>0</v>
      </c>
    </row>
    <row r="62" spans="1:12" ht="12.75">
      <c r="A62" s="64"/>
      <c r="B62" s="65"/>
      <c r="C62" s="66" t="s">
        <v>99</v>
      </c>
      <c r="D62" s="73" t="s">
        <v>167</v>
      </c>
      <c r="E62" s="74"/>
      <c r="F62" s="74"/>
      <c r="G62" s="74"/>
      <c r="H62" s="67">
        <f>SUM(H63:H65)</f>
        <v>0</v>
      </c>
      <c r="I62" s="67">
        <f>SUM(I63:I65)</f>
        <v>0</v>
      </c>
      <c r="J62" s="67">
        <f t="shared" si="2"/>
        <v>0</v>
      </c>
      <c r="K62" s="68"/>
      <c r="L62" s="69">
        <f>SUM(L63:L65)</f>
        <v>74.74218</v>
      </c>
    </row>
    <row r="63" spans="1:12" ht="12.75">
      <c r="A63" s="59" t="s">
        <v>45</v>
      </c>
      <c r="B63" s="60"/>
      <c r="C63" s="60" t="s">
        <v>100</v>
      </c>
      <c r="D63" s="60" t="s">
        <v>168</v>
      </c>
      <c r="E63" s="60" t="s">
        <v>192</v>
      </c>
      <c r="F63" s="61">
        <v>2</v>
      </c>
      <c r="G63" s="62"/>
      <c r="H63" s="61">
        <f>F63*G63*0.371399783741276</f>
        <v>0</v>
      </c>
      <c r="I63" s="61">
        <f>F63*G63*(1-0.371399783741276)</f>
        <v>0</v>
      </c>
      <c r="J63" s="61">
        <f t="shared" si="2"/>
        <v>0</v>
      </c>
      <c r="K63" s="61">
        <v>0.17213</v>
      </c>
      <c r="L63" s="63">
        <f>F63*K63</f>
        <v>0.34426</v>
      </c>
    </row>
    <row r="64" spans="1:12" ht="12.75">
      <c r="A64" s="59" t="s">
        <v>46</v>
      </c>
      <c r="B64" s="60"/>
      <c r="C64" s="60" t="s">
        <v>101</v>
      </c>
      <c r="D64" s="60" t="s">
        <v>169</v>
      </c>
      <c r="E64" s="60" t="s">
        <v>188</v>
      </c>
      <c r="F64" s="61">
        <v>18</v>
      </c>
      <c r="G64" s="62"/>
      <c r="H64" s="61">
        <f>F64*G64*0.860694848149862</f>
        <v>0</v>
      </c>
      <c r="I64" s="61">
        <f>F64*G64*(1-0.860694848149862)</f>
        <v>0</v>
      </c>
      <c r="J64" s="61">
        <f t="shared" si="2"/>
        <v>0</v>
      </c>
      <c r="K64" s="61">
        <v>2.539</v>
      </c>
      <c r="L64" s="63">
        <f>F64*K64</f>
        <v>45.702000000000005</v>
      </c>
    </row>
    <row r="65" spans="1:12" ht="12.75">
      <c r="A65" s="59" t="s">
        <v>47</v>
      </c>
      <c r="B65" s="60"/>
      <c r="C65" s="60" t="s">
        <v>102</v>
      </c>
      <c r="D65" s="60" t="s">
        <v>170</v>
      </c>
      <c r="E65" s="60" t="s">
        <v>191</v>
      </c>
      <c r="F65" s="61">
        <v>44</v>
      </c>
      <c r="G65" s="62"/>
      <c r="H65" s="61">
        <f>F65*G65*0.555140747481851</f>
        <v>0</v>
      </c>
      <c r="I65" s="61">
        <f>F65*G65*(1-0.555140747481851)</f>
        <v>0</v>
      </c>
      <c r="J65" s="61">
        <f t="shared" si="2"/>
        <v>0</v>
      </c>
      <c r="K65" s="61">
        <v>0.65218</v>
      </c>
      <c r="L65" s="63">
        <f>F65*K65</f>
        <v>28.69592</v>
      </c>
    </row>
    <row r="66" spans="1:12" ht="12.75">
      <c r="A66" s="64"/>
      <c r="B66" s="65"/>
      <c r="C66" s="66" t="s">
        <v>103</v>
      </c>
      <c r="D66" s="73" t="s">
        <v>171</v>
      </c>
      <c r="E66" s="74"/>
      <c r="F66" s="74"/>
      <c r="G66" s="74"/>
      <c r="H66" s="67">
        <f>SUM(H67:H67)</f>
        <v>0</v>
      </c>
      <c r="I66" s="67">
        <f>SUM(I67:I67)</f>
        <v>0</v>
      </c>
      <c r="J66" s="67">
        <f t="shared" si="2"/>
        <v>0</v>
      </c>
      <c r="K66" s="68"/>
      <c r="L66" s="69">
        <f>SUM(L67:L67)</f>
        <v>0</v>
      </c>
    </row>
    <row r="67" spans="1:12" ht="12.75">
      <c r="A67" s="59" t="s">
        <v>48</v>
      </c>
      <c r="B67" s="60"/>
      <c r="C67" s="60" t="s">
        <v>104</v>
      </c>
      <c r="D67" s="60" t="s">
        <v>172</v>
      </c>
      <c r="E67" s="60" t="s">
        <v>193</v>
      </c>
      <c r="F67" s="61">
        <v>98.3</v>
      </c>
      <c r="G67" s="62"/>
      <c r="H67" s="61">
        <f>F67*G67*0</f>
        <v>0</v>
      </c>
      <c r="I67" s="61">
        <f>F67*G67*(1-0)</f>
        <v>0</v>
      </c>
      <c r="J67" s="61">
        <f t="shared" si="2"/>
        <v>0</v>
      </c>
      <c r="K67" s="61">
        <v>0</v>
      </c>
      <c r="L67" s="63">
        <f>F67*K67</f>
        <v>0</v>
      </c>
    </row>
    <row r="68" spans="1:12" ht="12.75">
      <c r="A68" s="64"/>
      <c r="B68" s="65"/>
      <c r="C68" s="66" t="s">
        <v>105</v>
      </c>
      <c r="D68" s="73" t="s">
        <v>173</v>
      </c>
      <c r="E68" s="74"/>
      <c r="F68" s="74"/>
      <c r="G68" s="74"/>
      <c r="H68" s="67">
        <f>SUM(H69:H69)</f>
        <v>0</v>
      </c>
      <c r="I68" s="67">
        <f>SUM(I69:I69)</f>
        <v>0</v>
      </c>
      <c r="J68" s="67">
        <f t="shared" si="2"/>
        <v>0</v>
      </c>
      <c r="K68" s="68"/>
      <c r="L68" s="69">
        <f>SUM(L69:L69)</f>
        <v>0</v>
      </c>
    </row>
    <row r="69" spans="1:12" ht="12.75">
      <c r="A69" s="59" t="s">
        <v>49</v>
      </c>
      <c r="B69" s="60"/>
      <c r="C69" s="60" t="s">
        <v>106</v>
      </c>
      <c r="D69" s="60" t="s">
        <v>174</v>
      </c>
      <c r="E69" s="60" t="s">
        <v>190</v>
      </c>
      <c r="F69" s="61">
        <v>4658</v>
      </c>
      <c r="G69" s="62"/>
      <c r="H69" s="61">
        <f>F69*G69*0</f>
        <v>0</v>
      </c>
      <c r="I69" s="61">
        <f>F69*G69*(1-0)</f>
        <v>0</v>
      </c>
      <c r="J69" s="61">
        <f t="shared" si="2"/>
        <v>0</v>
      </c>
      <c r="K69" s="61">
        <v>0</v>
      </c>
      <c r="L69" s="63">
        <f>F69*K69</f>
        <v>0</v>
      </c>
    </row>
    <row r="70" spans="1:12" ht="12.75">
      <c r="A70" s="64"/>
      <c r="B70" s="65"/>
      <c r="C70" s="66"/>
      <c r="D70" s="73" t="s">
        <v>175</v>
      </c>
      <c r="E70" s="74"/>
      <c r="F70" s="74"/>
      <c r="G70" s="74"/>
      <c r="H70" s="67">
        <f>SUM(H71:H77)</f>
        <v>0</v>
      </c>
      <c r="I70" s="67">
        <f>SUM(I71:I77)</f>
        <v>0</v>
      </c>
      <c r="J70" s="67">
        <f t="shared" si="2"/>
        <v>0</v>
      </c>
      <c r="K70" s="68"/>
      <c r="L70" s="69">
        <f>SUM(L71:L77)</f>
        <v>41.5448</v>
      </c>
    </row>
    <row r="71" spans="1:12" ht="12.75">
      <c r="A71" s="59" t="s">
        <v>50</v>
      </c>
      <c r="B71" s="60"/>
      <c r="C71" s="60" t="s">
        <v>107</v>
      </c>
      <c r="D71" s="60" t="s">
        <v>176</v>
      </c>
      <c r="E71" s="60" t="s">
        <v>193</v>
      </c>
      <c r="F71" s="61">
        <v>94.1</v>
      </c>
      <c r="G71" s="62"/>
      <c r="H71" s="61">
        <f aca="true" t="shared" si="3" ref="H71:H77">F71*G71*1</f>
        <v>0</v>
      </c>
      <c r="I71" s="61">
        <f aca="true" t="shared" si="4" ref="I71:I77">F71*G71*(1-1)</f>
        <v>0</v>
      </c>
      <c r="J71" s="61">
        <f t="shared" si="2"/>
        <v>0</v>
      </c>
      <c r="K71" s="61">
        <v>0.001</v>
      </c>
      <c r="L71" s="63">
        <f aca="true" t="shared" si="5" ref="L71:L77">F71*K71</f>
        <v>0.0941</v>
      </c>
    </row>
    <row r="72" spans="1:12" ht="12.75">
      <c r="A72" s="59" t="s">
        <v>51</v>
      </c>
      <c r="B72" s="60"/>
      <c r="C72" s="60" t="s">
        <v>108</v>
      </c>
      <c r="D72" s="60" t="s">
        <v>177</v>
      </c>
      <c r="E72" s="60" t="s">
        <v>194</v>
      </c>
      <c r="F72" s="61">
        <v>0.123</v>
      </c>
      <c r="G72" s="62"/>
      <c r="H72" s="61">
        <f t="shared" si="3"/>
        <v>0</v>
      </c>
      <c r="I72" s="61">
        <f t="shared" si="4"/>
        <v>0</v>
      </c>
      <c r="J72" s="61">
        <f t="shared" si="2"/>
        <v>0</v>
      </c>
      <c r="K72" s="61">
        <v>1</v>
      </c>
      <c r="L72" s="63">
        <f t="shared" si="5"/>
        <v>0.123</v>
      </c>
    </row>
    <row r="73" spans="1:12" ht="12.75">
      <c r="A73" s="59" t="s">
        <v>52</v>
      </c>
      <c r="B73" s="60"/>
      <c r="C73" s="60" t="s">
        <v>109</v>
      </c>
      <c r="D73" s="60" t="s">
        <v>178</v>
      </c>
      <c r="E73" s="60" t="s">
        <v>194</v>
      </c>
      <c r="F73" s="61">
        <v>0.03</v>
      </c>
      <c r="G73" s="62"/>
      <c r="H73" s="61">
        <f t="shared" si="3"/>
        <v>0</v>
      </c>
      <c r="I73" s="61">
        <f t="shared" si="4"/>
        <v>0</v>
      </c>
      <c r="J73" s="61">
        <f t="shared" si="2"/>
        <v>0</v>
      </c>
      <c r="K73" s="61">
        <v>1</v>
      </c>
      <c r="L73" s="63">
        <f t="shared" si="5"/>
        <v>0.03</v>
      </c>
    </row>
    <row r="74" spans="1:12" ht="12.75">
      <c r="A74" s="59" t="s">
        <v>53</v>
      </c>
      <c r="B74" s="60"/>
      <c r="C74" s="60" t="s">
        <v>110</v>
      </c>
      <c r="D74" s="60" t="s">
        <v>179</v>
      </c>
      <c r="E74" s="60" t="s">
        <v>192</v>
      </c>
      <c r="F74" s="61">
        <v>2</v>
      </c>
      <c r="G74" s="62"/>
      <c r="H74" s="61">
        <f t="shared" si="3"/>
        <v>0</v>
      </c>
      <c r="I74" s="61">
        <f t="shared" si="4"/>
        <v>0</v>
      </c>
      <c r="J74" s="61">
        <f t="shared" si="2"/>
        <v>0</v>
      </c>
      <c r="K74" s="61">
        <v>0.0022</v>
      </c>
      <c r="L74" s="63">
        <f t="shared" si="5"/>
        <v>0.0044</v>
      </c>
    </row>
    <row r="75" spans="1:12" ht="12.75">
      <c r="A75" s="59" t="s">
        <v>54</v>
      </c>
      <c r="B75" s="60"/>
      <c r="C75" s="60" t="s">
        <v>111</v>
      </c>
      <c r="D75" s="60" t="s">
        <v>180</v>
      </c>
      <c r="E75" s="60" t="s">
        <v>192</v>
      </c>
      <c r="F75" s="61">
        <v>29.3</v>
      </c>
      <c r="G75" s="62"/>
      <c r="H75" s="61">
        <f t="shared" si="3"/>
        <v>0</v>
      </c>
      <c r="I75" s="61">
        <f t="shared" si="4"/>
        <v>0</v>
      </c>
      <c r="J75" s="61">
        <f t="shared" si="2"/>
        <v>0</v>
      </c>
      <c r="K75" s="61">
        <v>0.335</v>
      </c>
      <c r="L75" s="63">
        <f t="shared" si="5"/>
        <v>9.8155</v>
      </c>
    </row>
    <row r="76" spans="1:12" ht="12.75">
      <c r="A76" s="59" t="s">
        <v>55</v>
      </c>
      <c r="B76" s="60"/>
      <c r="C76" s="60" t="s">
        <v>112</v>
      </c>
      <c r="D76" s="60" t="s">
        <v>181</v>
      </c>
      <c r="E76" s="60" t="s">
        <v>192</v>
      </c>
      <c r="F76" s="61">
        <v>6.06</v>
      </c>
      <c r="G76" s="62"/>
      <c r="H76" s="61">
        <f t="shared" si="3"/>
        <v>0</v>
      </c>
      <c r="I76" s="61">
        <f t="shared" si="4"/>
        <v>0</v>
      </c>
      <c r="J76" s="61">
        <f>H76+I76</f>
        <v>0</v>
      </c>
      <c r="K76" s="61">
        <v>0.67</v>
      </c>
      <c r="L76" s="63">
        <f t="shared" si="5"/>
        <v>4.0602</v>
      </c>
    </row>
    <row r="77" spans="1:12" ht="12.75">
      <c r="A77" s="59" t="s">
        <v>56</v>
      </c>
      <c r="B77" s="60"/>
      <c r="C77" s="60" t="s">
        <v>113</v>
      </c>
      <c r="D77" s="60" t="s">
        <v>182</v>
      </c>
      <c r="E77" s="60" t="s">
        <v>192</v>
      </c>
      <c r="F77" s="61">
        <v>42.84</v>
      </c>
      <c r="G77" s="70"/>
      <c r="H77" s="61">
        <f t="shared" si="3"/>
        <v>0</v>
      </c>
      <c r="I77" s="61">
        <f t="shared" si="4"/>
        <v>0</v>
      </c>
      <c r="J77" s="61">
        <f>H77+I77</f>
        <v>0</v>
      </c>
      <c r="K77" s="61">
        <v>0.64</v>
      </c>
      <c r="L77" s="63">
        <f t="shared" si="5"/>
        <v>27.417600000000004</v>
      </c>
    </row>
    <row r="78" spans="1:12" ht="12.75">
      <c r="A78" s="51"/>
      <c r="B78" s="4"/>
      <c r="C78" s="4"/>
      <c r="D78" s="4"/>
      <c r="E78" s="4"/>
      <c r="F78" s="4"/>
      <c r="G78" s="4"/>
      <c r="H78" s="75" t="s">
        <v>200</v>
      </c>
      <c r="I78" s="76"/>
      <c r="J78" s="16">
        <f>J12+J16+J19+J24+J29+J36+J38+J42+J48+J52+J57+J60+J62+J66+J68+J70</f>
        <v>0</v>
      </c>
      <c r="K78" s="4"/>
      <c r="L78" s="52"/>
    </row>
    <row r="79" spans="1:12" ht="13.5" thickBo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0"/>
    </row>
  </sheetData>
  <mergeCells count="44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6:G16"/>
    <mergeCell ref="D19:G19"/>
    <mergeCell ref="D24:G24"/>
    <mergeCell ref="D29:G29"/>
    <mergeCell ref="D36:G36"/>
    <mergeCell ref="D38:G38"/>
    <mergeCell ref="D42:G42"/>
    <mergeCell ref="D48:G48"/>
    <mergeCell ref="D52:G52"/>
    <mergeCell ref="D68:G68"/>
    <mergeCell ref="D70:G70"/>
    <mergeCell ref="H78:I78"/>
    <mergeCell ref="D57:G57"/>
    <mergeCell ref="D60:G60"/>
    <mergeCell ref="D62:G62"/>
    <mergeCell ref="D66:G6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28" sqref="G28"/>
    </sheetView>
  </sheetViews>
  <sheetFormatPr defaultColWidth="9.140625" defaultRowHeight="12.75"/>
  <cols>
    <col min="1" max="1" width="16.57421875" style="0" customWidth="1"/>
    <col min="2" max="2" width="7.421875" style="0" customWidth="1"/>
    <col min="3" max="3" width="40.140625" style="0" customWidth="1"/>
    <col min="4" max="7" width="20.28125" style="0" customWidth="1"/>
    <col min="8" max="16384" width="11.421875" style="0" customWidth="1"/>
  </cols>
  <sheetData>
    <row r="1" spans="1:7" ht="21.75" customHeight="1">
      <c r="A1" s="93" t="s">
        <v>211</v>
      </c>
      <c r="B1" s="94"/>
      <c r="C1" s="94"/>
      <c r="D1" s="94"/>
      <c r="E1" s="94"/>
      <c r="F1" s="94"/>
      <c r="G1" s="10"/>
    </row>
    <row r="2" spans="1:8" ht="12.75">
      <c r="A2" s="95" t="s">
        <v>1</v>
      </c>
      <c r="B2" s="75" t="s">
        <v>114</v>
      </c>
      <c r="C2" s="76"/>
      <c r="D2" s="84" t="s">
        <v>201</v>
      </c>
      <c r="E2" s="84" t="s">
        <v>206</v>
      </c>
      <c r="F2" s="85"/>
      <c r="G2" s="86"/>
      <c r="H2" s="14"/>
    </row>
    <row r="3" spans="1:8" ht="12.75">
      <c r="A3" s="96"/>
      <c r="B3" s="92"/>
      <c r="C3" s="92"/>
      <c r="D3" s="87"/>
      <c r="E3" s="87"/>
      <c r="F3" s="87"/>
      <c r="G3" s="88"/>
      <c r="H3" s="14"/>
    </row>
    <row r="4" spans="1:8" ht="12.75">
      <c r="A4" s="72" t="s">
        <v>2</v>
      </c>
      <c r="B4" s="82" t="s">
        <v>115</v>
      </c>
      <c r="C4" s="87"/>
      <c r="D4" s="82" t="s">
        <v>202</v>
      </c>
      <c r="E4" s="82"/>
      <c r="F4" s="87"/>
      <c r="G4" s="88"/>
      <c r="H4" s="14"/>
    </row>
    <row r="5" spans="1:8" ht="12.75">
      <c r="A5" s="96"/>
      <c r="B5" s="87"/>
      <c r="C5" s="87"/>
      <c r="D5" s="87"/>
      <c r="E5" s="87"/>
      <c r="F5" s="87"/>
      <c r="G5" s="88"/>
      <c r="H5" s="14"/>
    </row>
    <row r="6" spans="1:8" ht="12.75">
      <c r="A6" s="72" t="s">
        <v>3</v>
      </c>
      <c r="B6" s="82" t="s">
        <v>116</v>
      </c>
      <c r="C6" s="87"/>
      <c r="D6" s="82" t="s">
        <v>203</v>
      </c>
      <c r="E6" s="82" t="s">
        <v>207</v>
      </c>
      <c r="F6" s="87"/>
      <c r="G6" s="88"/>
      <c r="H6" s="14"/>
    </row>
    <row r="7" spans="1:8" ht="12.75">
      <c r="A7" s="96"/>
      <c r="B7" s="87"/>
      <c r="C7" s="87"/>
      <c r="D7" s="87"/>
      <c r="E7" s="87"/>
      <c r="F7" s="87"/>
      <c r="G7" s="88"/>
      <c r="H7" s="14"/>
    </row>
    <row r="8" spans="1:8" ht="12.75">
      <c r="A8" s="72" t="s">
        <v>204</v>
      </c>
      <c r="B8" s="82" t="s">
        <v>208</v>
      </c>
      <c r="C8" s="87"/>
      <c r="D8" s="82" t="s">
        <v>186</v>
      </c>
      <c r="E8" s="90">
        <v>39903</v>
      </c>
      <c r="F8" s="87"/>
      <c r="G8" s="88"/>
      <c r="H8" s="14"/>
    </row>
    <row r="9" spans="1:8" ht="12.75">
      <c r="A9" s="91"/>
      <c r="B9" s="83"/>
      <c r="C9" s="83"/>
      <c r="D9" s="83"/>
      <c r="E9" s="83"/>
      <c r="F9" s="83"/>
      <c r="G9" s="89"/>
      <c r="H9" s="14"/>
    </row>
    <row r="10" spans="1:8" ht="13.5" thickBot="1">
      <c r="A10" s="17" t="s">
        <v>57</v>
      </c>
      <c r="B10" s="18" t="s">
        <v>58</v>
      </c>
      <c r="C10" s="19" t="s">
        <v>117</v>
      </c>
      <c r="D10" s="20" t="s">
        <v>212</v>
      </c>
      <c r="E10" s="20" t="s">
        <v>213</v>
      </c>
      <c r="F10" s="20" t="s">
        <v>214</v>
      </c>
      <c r="G10" s="23" t="s">
        <v>215</v>
      </c>
      <c r="H10" s="15"/>
    </row>
    <row r="11" spans="1:7" ht="12.75">
      <c r="A11" s="41"/>
      <c r="B11" s="42" t="s">
        <v>18</v>
      </c>
      <c r="C11" s="42" t="s">
        <v>118</v>
      </c>
      <c r="D11" s="43"/>
      <c r="E11" s="43"/>
      <c r="F11" s="44">
        <f aca="true" t="shared" si="0" ref="F11:F26">D11+E11</f>
        <v>0</v>
      </c>
      <c r="G11" s="45">
        <v>0</v>
      </c>
    </row>
    <row r="12" spans="1:7" ht="12.75">
      <c r="A12" s="46"/>
      <c r="B12" s="47" t="s">
        <v>19</v>
      </c>
      <c r="C12" s="47" t="s">
        <v>122</v>
      </c>
      <c r="D12" s="48"/>
      <c r="E12" s="48"/>
      <c r="F12" s="49">
        <f t="shared" si="0"/>
        <v>0</v>
      </c>
      <c r="G12" s="50">
        <v>0</v>
      </c>
    </row>
    <row r="13" spans="1:7" ht="12.75">
      <c r="A13" s="46"/>
      <c r="B13" s="47" t="s">
        <v>22</v>
      </c>
      <c r="C13" s="47" t="s">
        <v>125</v>
      </c>
      <c r="D13" s="48"/>
      <c r="E13" s="48"/>
      <c r="F13" s="49">
        <f t="shared" si="0"/>
        <v>0</v>
      </c>
      <c r="G13" s="50">
        <v>0</v>
      </c>
    </row>
    <row r="14" spans="1:7" ht="12.75">
      <c r="A14" s="46"/>
      <c r="B14" s="47" t="s">
        <v>23</v>
      </c>
      <c r="C14" s="47" t="s">
        <v>129</v>
      </c>
      <c r="D14" s="48"/>
      <c r="E14" s="48"/>
      <c r="F14" s="49">
        <f t="shared" si="0"/>
        <v>0</v>
      </c>
      <c r="G14" s="50">
        <v>0</v>
      </c>
    </row>
    <row r="15" spans="1:7" ht="12.75">
      <c r="A15" s="46"/>
      <c r="B15" s="47" t="s">
        <v>24</v>
      </c>
      <c r="C15" s="47" t="s">
        <v>134</v>
      </c>
      <c r="D15" s="48"/>
      <c r="E15" s="48"/>
      <c r="F15" s="49">
        <f t="shared" si="0"/>
        <v>0</v>
      </c>
      <c r="G15" s="50">
        <v>0</v>
      </c>
    </row>
    <row r="16" spans="1:7" ht="12.75">
      <c r="A16" s="46"/>
      <c r="B16" s="47" t="s">
        <v>37</v>
      </c>
      <c r="C16" s="47" t="s">
        <v>141</v>
      </c>
      <c r="D16" s="48"/>
      <c r="E16" s="48"/>
      <c r="F16" s="49">
        <f t="shared" si="0"/>
        <v>0</v>
      </c>
      <c r="G16" s="50">
        <v>0.01401</v>
      </c>
    </row>
    <row r="17" spans="1:7" ht="12.75">
      <c r="A17" s="46"/>
      <c r="B17" s="47" t="s">
        <v>38</v>
      </c>
      <c r="C17" s="47" t="s">
        <v>143</v>
      </c>
      <c r="D17" s="48"/>
      <c r="E17" s="48"/>
      <c r="F17" s="49">
        <f t="shared" si="0"/>
        <v>0</v>
      </c>
      <c r="G17" s="50">
        <v>8.06944</v>
      </c>
    </row>
    <row r="18" spans="1:7" ht="12.75">
      <c r="A18" s="46"/>
      <c r="B18" s="47" t="s">
        <v>51</v>
      </c>
      <c r="C18" s="47" t="s">
        <v>147</v>
      </c>
      <c r="D18" s="48"/>
      <c r="E18" s="48"/>
      <c r="F18" s="49">
        <f t="shared" si="0"/>
        <v>0</v>
      </c>
      <c r="G18" s="50">
        <v>54.4606</v>
      </c>
    </row>
    <row r="19" spans="1:7" ht="12.75">
      <c r="A19" s="46"/>
      <c r="B19" s="47" t="s">
        <v>52</v>
      </c>
      <c r="C19" s="47" t="s">
        <v>153</v>
      </c>
      <c r="D19" s="48"/>
      <c r="E19" s="48"/>
      <c r="F19" s="49">
        <f t="shared" si="0"/>
        <v>0</v>
      </c>
      <c r="G19" s="50">
        <v>24.1102</v>
      </c>
    </row>
    <row r="20" spans="1:7" ht="12.75">
      <c r="A20" s="46"/>
      <c r="B20" s="47" t="s">
        <v>89</v>
      </c>
      <c r="C20" s="47" t="s">
        <v>157</v>
      </c>
      <c r="D20" s="48"/>
      <c r="E20" s="48"/>
      <c r="F20" s="49">
        <f t="shared" si="0"/>
        <v>0</v>
      </c>
      <c r="G20" s="50">
        <v>3980.14433</v>
      </c>
    </row>
    <row r="21" spans="1:7" ht="12.75">
      <c r="A21" s="46"/>
      <c r="B21" s="47" t="s">
        <v>94</v>
      </c>
      <c r="C21" s="47" t="s">
        <v>162</v>
      </c>
      <c r="D21" s="48"/>
      <c r="E21" s="48"/>
      <c r="F21" s="49">
        <f t="shared" si="0"/>
        <v>0</v>
      </c>
      <c r="G21" s="50">
        <v>474.66553</v>
      </c>
    </row>
    <row r="22" spans="1:7" ht="12.75">
      <c r="A22" s="46"/>
      <c r="B22" s="47" t="s">
        <v>97</v>
      </c>
      <c r="C22" s="47" t="s">
        <v>165</v>
      </c>
      <c r="D22" s="48"/>
      <c r="E22" s="48"/>
      <c r="F22" s="49">
        <f t="shared" si="0"/>
        <v>0</v>
      </c>
      <c r="G22" s="50">
        <v>0</v>
      </c>
    </row>
    <row r="23" spans="1:7" ht="12.75">
      <c r="A23" s="46"/>
      <c r="B23" s="47" t="s">
        <v>99</v>
      </c>
      <c r="C23" s="47" t="s">
        <v>167</v>
      </c>
      <c r="D23" s="48"/>
      <c r="E23" s="48"/>
      <c r="F23" s="49">
        <f t="shared" si="0"/>
        <v>0</v>
      </c>
      <c r="G23" s="50">
        <v>74.74218</v>
      </c>
    </row>
    <row r="24" spans="1:7" ht="12.75">
      <c r="A24" s="46"/>
      <c r="B24" s="47" t="s">
        <v>103</v>
      </c>
      <c r="C24" s="47" t="s">
        <v>171</v>
      </c>
      <c r="D24" s="48"/>
      <c r="E24" s="48"/>
      <c r="F24" s="49">
        <f t="shared" si="0"/>
        <v>0</v>
      </c>
      <c r="G24" s="50">
        <v>0</v>
      </c>
    </row>
    <row r="25" spans="1:7" ht="12.75">
      <c r="A25" s="46"/>
      <c r="B25" s="47" t="s">
        <v>105</v>
      </c>
      <c r="C25" s="47" t="s">
        <v>173</v>
      </c>
      <c r="D25" s="48"/>
      <c r="E25" s="48"/>
      <c r="F25" s="49">
        <f t="shared" si="0"/>
        <v>0</v>
      </c>
      <c r="G25" s="50">
        <v>0</v>
      </c>
    </row>
    <row r="26" spans="1:7" ht="12.75">
      <c r="A26" s="46"/>
      <c r="B26" s="47"/>
      <c r="C26" s="47" t="s">
        <v>175</v>
      </c>
      <c r="D26" s="48"/>
      <c r="E26" s="48"/>
      <c r="F26" s="49">
        <f t="shared" si="0"/>
        <v>0</v>
      </c>
      <c r="G26" s="50">
        <v>41.5448</v>
      </c>
    </row>
    <row r="27" spans="1:7" ht="12.75">
      <c r="A27" s="36"/>
      <c r="B27" s="35"/>
      <c r="C27" s="35"/>
      <c r="D27" s="35"/>
      <c r="E27" s="35"/>
      <c r="F27" s="35"/>
      <c r="G27" s="37"/>
    </row>
    <row r="28" spans="1:7" ht="12.75">
      <c r="A28" s="36"/>
      <c r="B28" s="35"/>
      <c r="C28" s="35"/>
      <c r="D28" s="35"/>
      <c r="E28" s="22" t="s">
        <v>200</v>
      </c>
      <c r="F28" s="24">
        <f>SUM(F11:F26)</f>
        <v>0</v>
      </c>
      <c r="G28" s="71">
        <f>SUM(G11:G27)</f>
        <v>4657.75109</v>
      </c>
    </row>
    <row r="29" spans="1:7" ht="12.75">
      <c r="A29" s="36"/>
      <c r="B29" s="35"/>
      <c r="C29" s="35"/>
      <c r="D29" s="35"/>
      <c r="E29" s="35"/>
      <c r="F29" s="35"/>
      <c r="G29" s="37"/>
    </row>
    <row r="30" spans="1:7" ht="13.5" thickBot="1">
      <c r="A30" s="38"/>
      <c r="B30" s="39"/>
      <c r="C30" s="39"/>
      <c r="D30" s="39"/>
      <c r="E30" s="39"/>
      <c r="F30" s="39"/>
      <c r="G30" s="40"/>
    </row>
  </sheetData>
  <mergeCells count="17">
    <mergeCell ref="A1:F1"/>
    <mergeCell ref="A2:A3"/>
    <mergeCell ref="A4:A5"/>
    <mergeCell ref="A6:A7"/>
    <mergeCell ref="D2:D3"/>
    <mergeCell ref="D4:D5"/>
    <mergeCell ref="D6:D7"/>
    <mergeCell ref="A8:A9"/>
    <mergeCell ref="B2:C3"/>
    <mergeCell ref="B4:C5"/>
    <mergeCell ref="B6:C7"/>
    <mergeCell ref="B8:C9"/>
    <mergeCell ref="D8:D9"/>
    <mergeCell ref="E2:G3"/>
    <mergeCell ref="E4:G5"/>
    <mergeCell ref="E6:G7"/>
    <mergeCell ref="E8:G9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8" sqref="C8:D9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122" t="s">
        <v>216</v>
      </c>
      <c r="B1" s="123"/>
      <c r="C1" s="123"/>
      <c r="D1" s="123"/>
      <c r="E1" s="123"/>
      <c r="F1" s="123"/>
      <c r="G1" s="123"/>
      <c r="H1" s="123"/>
      <c r="I1" s="123"/>
    </row>
    <row r="2" spans="1:10" ht="12.75">
      <c r="A2" s="95" t="s">
        <v>1</v>
      </c>
      <c r="B2" s="85"/>
      <c r="C2" s="75" t="s">
        <v>114</v>
      </c>
      <c r="D2" s="76"/>
      <c r="E2" s="84" t="s">
        <v>201</v>
      </c>
      <c r="F2" s="84" t="s">
        <v>206</v>
      </c>
      <c r="G2" s="85"/>
      <c r="H2" s="84" t="s">
        <v>251</v>
      </c>
      <c r="I2" s="117"/>
      <c r="J2" s="14"/>
    </row>
    <row r="3" spans="1:10" ht="12.75">
      <c r="A3" s="96"/>
      <c r="B3" s="87"/>
      <c r="C3" s="92"/>
      <c r="D3" s="92"/>
      <c r="E3" s="87"/>
      <c r="F3" s="87"/>
      <c r="G3" s="87"/>
      <c r="H3" s="87"/>
      <c r="I3" s="88"/>
      <c r="J3" s="14"/>
    </row>
    <row r="4" spans="1:10" ht="12.75">
      <c r="A4" s="72" t="s">
        <v>2</v>
      </c>
      <c r="B4" s="87"/>
      <c r="C4" s="82" t="s">
        <v>115</v>
      </c>
      <c r="D4" s="87"/>
      <c r="E4" s="82" t="s">
        <v>202</v>
      </c>
      <c r="F4" s="82"/>
      <c r="G4" s="87"/>
      <c r="H4" s="82" t="s">
        <v>251</v>
      </c>
      <c r="I4" s="118"/>
      <c r="J4" s="14"/>
    </row>
    <row r="5" spans="1:10" ht="12.75">
      <c r="A5" s="96"/>
      <c r="B5" s="87"/>
      <c r="C5" s="87"/>
      <c r="D5" s="87"/>
      <c r="E5" s="87"/>
      <c r="F5" s="87"/>
      <c r="G5" s="87"/>
      <c r="H5" s="87"/>
      <c r="I5" s="88"/>
      <c r="J5" s="14"/>
    </row>
    <row r="6" spans="1:10" ht="12.75">
      <c r="A6" s="72" t="s">
        <v>3</v>
      </c>
      <c r="B6" s="87"/>
      <c r="C6" s="82" t="s">
        <v>116</v>
      </c>
      <c r="D6" s="87"/>
      <c r="E6" s="82" t="s">
        <v>203</v>
      </c>
      <c r="F6" s="82" t="s">
        <v>207</v>
      </c>
      <c r="G6" s="87"/>
      <c r="H6" s="82" t="s">
        <v>251</v>
      </c>
      <c r="I6" s="118"/>
      <c r="J6" s="14"/>
    </row>
    <row r="7" spans="1:10" ht="12.75">
      <c r="A7" s="96"/>
      <c r="B7" s="87"/>
      <c r="C7" s="87"/>
      <c r="D7" s="87"/>
      <c r="E7" s="87"/>
      <c r="F7" s="87"/>
      <c r="G7" s="87"/>
      <c r="H7" s="87"/>
      <c r="I7" s="88"/>
      <c r="J7" s="14"/>
    </row>
    <row r="8" spans="1:10" ht="12.75">
      <c r="A8" s="72" t="s">
        <v>184</v>
      </c>
      <c r="B8" s="87"/>
      <c r="C8" s="90"/>
      <c r="D8" s="87"/>
      <c r="E8" s="82" t="s">
        <v>185</v>
      </c>
      <c r="F8" s="87"/>
      <c r="G8" s="87"/>
      <c r="H8" s="82" t="s">
        <v>252</v>
      </c>
      <c r="I8" s="118" t="s">
        <v>56</v>
      </c>
      <c r="J8" s="14"/>
    </row>
    <row r="9" spans="1:10" ht="12.75">
      <c r="A9" s="96"/>
      <c r="B9" s="87"/>
      <c r="C9" s="87"/>
      <c r="D9" s="87"/>
      <c r="E9" s="87"/>
      <c r="F9" s="87"/>
      <c r="G9" s="87"/>
      <c r="H9" s="87"/>
      <c r="I9" s="88"/>
      <c r="J9" s="14"/>
    </row>
    <row r="10" spans="1:10" ht="12.75">
      <c r="A10" s="72" t="s">
        <v>4</v>
      </c>
      <c r="B10" s="87"/>
      <c r="C10" s="82"/>
      <c r="D10" s="87"/>
      <c r="E10" s="82" t="s">
        <v>204</v>
      </c>
      <c r="F10" s="82" t="s">
        <v>208</v>
      </c>
      <c r="G10" s="87"/>
      <c r="H10" s="82" t="s">
        <v>253</v>
      </c>
      <c r="I10" s="119">
        <v>39903</v>
      </c>
      <c r="J10" s="14"/>
    </row>
    <row r="11" spans="1:10" ht="12.75">
      <c r="A11" s="121"/>
      <c r="B11" s="116"/>
      <c r="C11" s="116"/>
      <c r="D11" s="116"/>
      <c r="E11" s="116"/>
      <c r="F11" s="116"/>
      <c r="G11" s="116"/>
      <c r="H11" s="116"/>
      <c r="I11" s="120"/>
      <c r="J11" s="14"/>
    </row>
    <row r="12" spans="1:9" ht="23.25" customHeight="1">
      <c r="A12" s="112" t="s">
        <v>217</v>
      </c>
      <c r="B12" s="113"/>
      <c r="C12" s="113"/>
      <c r="D12" s="113"/>
      <c r="E12" s="113"/>
      <c r="F12" s="113"/>
      <c r="G12" s="113"/>
      <c r="H12" s="113"/>
      <c r="I12" s="113"/>
    </row>
    <row r="13" spans="1:10" ht="26.25" customHeight="1">
      <c r="A13" s="25" t="s">
        <v>218</v>
      </c>
      <c r="B13" s="114" t="s">
        <v>229</v>
      </c>
      <c r="C13" s="115"/>
      <c r="D13" s="25" t="s">
        <v>231</v>
      </c>
      <c r="E13" s="114" t="s">
        <v>239</v>
      </c>
      <c r="F13" s="115"/>
      <c r="G13" s="25" t="s">
        <v>240</v>
      </c>
      <c r="H13" s="114" t="s">
        <v>254</v>
      </c>
      <c r="I13" s="115"/>
      <c r="J13" s="14"/>
    </row>
    <row r="14" spans="1:10" ht="15" customHeight="1">
      <c r="A14" s="26" t="s">
        <v>219</v>
      </c>
      <c r="B14" s="30" t="s">
        <v>230</v>
      </c>
      <c r="C14" s="31"/>
      <c r="D14" s="110" t="s">
        <v>232</v>
      </c>
      <c r="E14" s="111"/>
      <c r="F14" s="31"/>
      <c r="G14" s="110" t="s">
        <v>241</v>
      </c>
      <c r="H14" s="111"/>
      <c r="I14" s="31"/>
      <c r="J14" s="14"/>
    </row>
    <row r="15" spans="1:10" ht="15" customHeight="1">
      <c r="A15" s="27"/>
      <c r="B15" s="30" t="s">
        <v>205</v>
      </c>
      <c r="C15" s="31"/>
      <c r="D15" s="110" t="s">
        <v>233</v>
      </c>
      <c r="E15" s="111"/>
      <c r="F15" s="31"/>
      <c r="G15" s="110" t="s">
        <v>242</v>
      </c>
      <c r="H15" s="111"/>
      <c r="I15" s="31"/>
      <c r="J15" s="14"/>
    </row>
    <row r="16" spans="1:10" ht="15" customHeight="1">
      <c r="A16" s="26" t="s">
        <v>220</v>
      </c>
      <c r="B16" s="30" t="s">
        <v>230</v>
      </c>
      <c r="C16" s="31"/>
      <c r="D16" s="110" t="s">
        <v>234</v>
      </c>
      <c r="E16" s="111"/>
      <c r="F16" s="31"/>
      <c r="G16" s="110" t="s">
        <v>243</v>
      </c>
      <c r="H16" s="111"/>
      <c r="I16" s="31"/>
      <c r="J16" s="14"/>
    </row>
    <row r="17" spans="1:10" ht="15" customHeight="1">
      <c r="A17" s="27"/>
      <c r="B17" s="30" t="s">
        <v>205</v>
      </c>
      <c r="C17" s="31"/>
      <c r="D17" s="110"/>
      <c r="E17" s="111"/>
      <c r="F17" s="34"/>
      <c r="G17" s="110" t="s">
        <v>244</v>
      </c>
      <c r="H17" s="111"/>
      <c r="I17" s="31"/>
      <c r="J17" s="14"/>
    </row>
    <row r="18" spans="1:10" ht="15" customHeight="1">
      <c r="A18" s="26" t="s">
        <v>221</v>
      </c>
      <c r="B18" s="30" t="s">
        <v>230</v>
      </c>
      <c r="C18" s="31"/>
      <c r="D18" s="110"/>
      <c r="E18" s="111"/>
      <c r="F18" s="34"/>
      <c r="G18" s="110" t="s">
        <v>245</v>
      </c>
      <c r="H18" s="111"/>
      <c r="I18" s="31"/>
      <c r="J18" s="14"/>
    </row>
    <row r="19" spans="1:10" ht="15" customHeight="1">
      <c r="A19" s="27"/>
      <c r="B19" s="30" t="s">
        <v>205</v>
      </c>
      <c r="C19" s="31"/>
      <c r="D19" s="110"/>
      <c r="E19" s="111"/>
      <c r="F19" s="34"/>
      <c r="G19" s="110" t="s">
        <v>246</v>
      </c>
      <c r="H19" s="111"/>
      <c r="I19" s="31"/>
      <c r="J19" s="14"/>
    </row>
    <row r="20" spans="1:10" ht="15" customHeight="1">
      <c r="A20" s="106" t="s">
        <v>175</v>
      </c>
      <c r="B20" s="107"/>
      <c r="C20" s="31"/>
      <c r="D20" s="110"/>
      <c r="E20" s="111"/>
      <c r="F20" s="34"/>
      <c r="G20" s="110"/>
      <c r="H20" s="111"/>
      <c r="I20" s="34"/>
      <c r="J20" s="14"/>
    </row>
    <row r="21" spans="1:10" ht="15" customHeight="1">
      <c r="A21" s="106" t="s">
        <v>222</v>
      </c>
      <c r="B21" s="107"/>
      <c r="C21" s="31"/>
      <c r="D21" s="110"/>
      <c r="E21" s="111"/>
      <c r="F21" s="34"/>
      <c r="G21" s="110"/>
      <c r="H21" s="111"/>
      <c r="I21" s="34"/>
      <c r="J21" s="14"/>
    </row>
    <row r="22" spans="1:10" ht="16.5" customHeight="1">
      <c r="A22" s="106" t="s">
        <v>223</v>
      </c>
      <c r="B22" s="107"/>
      <c r="C22" s="31"/>
      <c r="D22" s="106" t="s">
        <v>235</v>
      </c>
      <c r="E22" s="107"/>
      <c r="F22" s="31"/>
      <c r="G22" s="106" t="s">
        <v>247</v>
      </c>
      <c r="H22" s="107"/>
      <c r="I22" s="31"/>
      <c r="J22" s="14"/>
    </row>
    <row r="23" spans="1:9" ht="12.75">
      <c r="A23" s="28"/>
      <c r="B23" s="28"/>
      <c r="C23" s="28"/>
      <c r="D23" s="4"/>
      <c r="E23" s="4"/>
      <c r="F23" s="4"/>
      <c r="G23" s="4"/>
      <c r="H23" s="4"/>
      <c r="I23" s="4"/>
    </row>
    <row r="24" spans="1:9" ht="15" customHeight="1">
      <c r="A24" s="108" t="s">
        <v>224</v>
      </c>
      <c r="B24" s="109"/>
      <c r="C24" s="32"/>
      <c r="D24" s="33"/>
      <c r="E24" s="10"/>
      <c r="F24" s="10"/>
      <c r="G24" s="10"/>
      <c r="H24" s="10"/>
      <c r="I24" s="10"/>
    </row>
    <row r="25" spans="1:10" ht="15" customHeight="1">
      <c r="A25" s="108" t="s">
        <v>225</v>
      </c>
      <c r="B25" s="109"/>
      <c r="C25" s="32"/>
      <c r="D25" s="108" t="s">
        <v>236</v>
      </c>
      <c r="E25" s="109"/>
      <c r="F25" s="32"/>
      <c r="G25" s="108" t="s">
        <v>248</v>
      </c>
      <c r="H25" s="109"/>
      <c r="I25" s="32"/>
      <c r="J25" s="14"/>
    </row>
    <row r="26" spans="1:10" ht="15" customHeight="1">
      <c r="A26" s="108" t="s">
        <v>226</v>
      </c>
      <c r="B26" s="109"/>
      <c r="C26" s="32"/>
      <c r="D26" s="108" t="s">
        <v>237</v>
      </c>
      <c r="E26" s="109"/>
      <c r="F26" s="32"/>
      <c r="G26" s="108" t="s">
        <v>249</v>
      </c>
      <c r="H26" s="109"/>
      <c r="I26" s="32"/>
      <c r="J26" s="14"/>
    </row>
    <row r="27" spans="1:9" ht="12.75">
      <c r="A27" s="29"/>
      <c r="B27" s="29"/>
      <c r="C27" s="29"/>
      <c r="D27" s="29"/>
      <c r="E27" s="29"/>
      <c r="F27" s="29"/>
      <c r="G27" s="29"/>
      <c r="H27" s="29"/>
      <c r="I27" s="29"/>
    </row>
    <row r="28" spans="1:10" ht="14.25" customHeight="1">
      <c r="A28" s="100" t="s">
        <v>227</v>
      </c>
      <c r="B28" s="101"/>
      <c r="C28" s="102"/>
      <c r="D28" s="100" t="s">
        <v>238</v>
      </c>
      <c r="E28" s="101"/>
      <c r="F28" s="102"/>
      <c r="G28" s="100" t="s">
        <v>250</v>
      </c>
      <c r="H28" s="101"/>
      <c r="I28" s="102"/>
      <c r="J28" s="15"/>
    </row>
    <row r="29" spans="1:10" ht="14.25" customHeight="1">
      <c r="A29" s="103"/>
      <c r="B29" s="104"/>
      <c r="C29" s="105"/>
      <c r="D29" s="103"/>
      <c r="E29" s="104"/>
      <c r="F29" s="105"/>
      <c r="G29" s="103"/>
      <c r="H29" s="104"/>
      <c r="I29" s="105"/>
      <c r="J29" s="15"/>
    </row>
    <row r="30" spans="1:10" ht="14.25" customHeight="1">
      <c r="A30" s="103"/>
      <c r="B30" s="104"/>
      <c r="C30" s="105"/>
      <c r="D30" s="103"/>
      <c r="E30" s="104"/>
      <c r="F30" s="105"/>
      <c r="G30" s="103"/>
      <c r="H30" s="104"/>
      <c r="I30" s="105"/>
      <c r="J30" s="15"/>
    </row>
    <row r="31" spans="1:10" ht="14.25" customHeight="1">
      <c r="A31" s="103"/>
      <c r="B31" s="104"/>
      <c r="C31" s="105"/>
      <c r="D31" s="103"/>
      <c r="E31" s="104"/>
      <c r="F31" s="105"/>
      <c r="G31" s="103"/>
      <c r="H31" s="104"/>
      <c r="I31" s="105"/>
      <c r="J31" s="15"/>
    </row>
    <row r="32" spans="1:10" ht="14.25" customHeight="1">
      <c r="A32" s="97" t="s">
        <v>228</v>
      </c>
      <c r="B32" s="98"/>
      <c r="C32" s="99"/>
      <c r="D32" s="97" t="s">
        <v>228</v>
      </c>
      <c r="E32" s="98"/>
      <c r="F32" s="99"/>
      <c r="G32" s="97" t="s">
        <v>228</v>
      </c>
      <c r="H32" s="98"/>
      <c r="I32" s="99"/>
      <c r="J32" s="15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cp:lastPrinted>2009-04-01T13:44:11Z</cp:lastPrinted>
  <dcterms:created xsi:type="dcterms:W3CDTF">2009-04-01T13:17:35Z</dcterms:created>
  <dcterms:modified xsi:type="dcterms:W3CDTF">2012-11-14T16:55:46Z</dcterms:modified>
  <cp:category/>
  <cp:version/>
  <cp:contentType/>
  <cp:contentStatus/>
</cp:coreProperties>
</file>