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30720" windowHeight="13080" firstSheet="7" activeTab="12"/>
  </bookViews>
  <sheets>
    <sheet name="08.09" sheetId="3" r:id="rId1"/>
    <sheet name="08.10" sheetId="4" r:id="rId2"/>
    <sheet name="08.11" sheetId="5" r:id="rId3"/>
    <sheet name="08.13_HK1" sheetId="6" r:id="rId4"/>
    <sheet name="08.13_dešť.kan." sheetId="13" r:id="rId5"/>
    <sheet name="08.13_HK2" sheetId="7" r:id="rId6"/>
    <sheet name="08.13_VO" sheetId="8" r:id="rId7"/>
    <sheet name="08.13_SU" sheetId="9" r:id="rId8"/>
    <sheet name="08.13_přípojky" sheetId="11" r:id="rId9"/>
    <sheet name="08.14" sheetId="10" r:id="rId10"/>
    <sheet name="08.16" sheetId="12" r:id="rId11"/>
    <sheet name="08.03" sheetId="1" r:id="rId12"/>
    <sheet name="11" sheetId="14" r:id="rId13"/>
  </sheets>
  <definedNames>
    <definedName name="_xlnm.Print_Area" localSheetId="11">'08.03'!$A$1:$L$18</definedName>
    <definedName name="_xlnm.Print_Area" localSheetId="0">'08.09'!$A$1:$L$41</definedName>
    <definedName name="_xlnm.Print_Area" localSheetId="1">'08.10'!$A$1:$L$45</definedName>
    <definedName name="_xlnm.Print_Area" localSheetId="2">'08.11'!$A$1:$L$40</definedName>
    <definedName name="_xlnm.Print_Area" localSheetId="4">'08.13_dešť.kan.'!$A$1:$O$60</definedName>
    <definedName name="_xlnm.Print_Area" localSheetId="3">'08.13_HK1'!$A$1:$L$41</definedName>
    <definedName name="_xlnm.Print_Area" localSheetId="5">'08.13_HK2'!$A$1:$L$43</definedName>
    <definedName name="_xlnm.Print_Area" localSheetId="7">'08.13_SU'!$A$1:$L$56</definedName>
    <definedName name="_xlnm.Print_Area" localSheetId="6">'08.13_VO'!$A$1:$L$29</definedName>
    <definedName name="_xlnm.Print_Area" localSheetId="9">'08.14'!$A$1:$L$48</definedName>
    <definedName name="_xlnm.Print_Area" localSheetId="10">'08.16'!$A$1:$R$50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<sst xmlns="http://schemas.openxmlformats.org/spreadsheetml/2006/main" count="1849" uniqueCount="479">
  <si>
    <t>m</t>
  </si>
  <si>
    <t>Výkop pro čelo VO (od P.T.)</t>
  </si>
  <si>
    <t>m3</t>
  </si>
  <si>
    <t>sklon stěn výkopu 1:</t>
  </si>
  <si>
    <t>hl. výkopu</t>
  </si>
  <si>
    <t>m2</t>
  </si>
  <si>
    <t>Základ VO z betonu C25/30</t>
  </si>
  <si>
    <t>Tělo VO z betonu C25/30</t>
  </si>
  <si>
    <t>základ</t>
  </si>
  <si>
    <t>hl</t>
  </si>
  <si>
    <t>dl</t>
  </si>
  <si>
    <t>š</t>
  </si>
  <si>
    <t>tělo</t>
  </si>
  <si>
    <t>=&gt; objem</t>
  </si>
  <si>
    <t>dl.</t>
  </si>
  <si>
    <t>sklon svahu 1:</t>
  </si>
  <si>
    <t>(civil)</t>
  </si>
  <si>
    <t>z toho dlažba tl. 0,3m</t>
  </si>
  <si>
    <t>VO</t>
  </si>
  <si>
    <t>sklon zadní stěny 1:</t>
  </si>
  <si>
    <t>(0,32+0,28)</t>
  </si>
  <si>
    <t>vrch základu</t>
  </si>
  <si>
    <t>tl. potrubí</t>
  </si>
  <si>
    <t>plocha dlažby ve výkopu</t>
  </si>
  <si>
    <t>plocha dl. ve výkopu</t>
  </si>
  <si>
    <t>m2 (pohled)</t>
  </si>
  <si>
    <t>plocha pažení pro základ VO</t>
  </si>
  <si>
    <t>"křídla" VO š. 0,3m</t>
  </si>
  <si>
    <t>(sklon zanedbán, jedna strana nebedněná)</t>
  </si>
  <si>
    <t>plocha pažení pro čelo VO</t>
  </si>
  <si>
    <t>plocha pažení pro křídla VO</t>
  </si>
  <si>
    <t>(bez otvoru pro potrubí)</t>
  </si>
  <si>
    <t>Celkový objem VO (= vytlačená zemina)</t>
  </si>
  <si>
    <t xml:space="preserve">Výkop </t>
  </si>
  <si>
    <t>- výkop pod plání</t>
  </si>
  <si>
    <t>sklon stěn výkopu mimo pažení 1:</t>
  </si>
  <si>
    <t>tl. pažení</t>
  </si>
  <si>
    <t>kce vozovky</t>
  </si>
  <si>
    <t>základ. deska tl. 0,1m</t>
  </si>
  <si>
    <t>HK</t>
  </si>
  <si>
    <t>Základová deska z betonu C8/10</t>
  </si>
  <si>
    <t>spodní část HK z betonu C30/37 XF4</t>
  </si>
  <si>
    <t>strop</t>
  </si>
  <si>
    <t>výška stěny od pracovní spáry po strop</t>
  </si>
  <si>
    <t>výplňový beton</t>
  </si>
  <si>
    <t>š =</t>
  </si>
  <si>
    <t>dl =</t>
  </si>
  <si>
    <t>tl =</t>
  </si>
  <si>
    <t>h =</t>
  </si>
  <si>
    <t>obnovení vozovky na ploše</t>
  </si>
  <si>
    <t>stěny HK  z betonu C30/37 XF4</t>
  </si>
  <si>
    <t>strop  z betonu C30/37 XF4</t>
  </si>
  <si>
    <t>tloušťka stěny</t>
  </si>
  <si>
    <t>Potrubí DN</t>
  </si>
  <si>
    <t>tj. průměr</t>
  </si>
  <si>
    <t>(potrubí plast, tl. stěny zanedbána)</t>
  </si>
  <si>
    <t>vstupní otvor</t>
  </si>
  <si>
    <t>š=</t>
  </si>
  <si>
    <t>vstupní komín</t>
  </si>
  <si>
    <t>v=</t>
  </si>
  <si>
    <t>výška poklopu</t>
  </si>
  <si>
    <t>výplňový beton:</t>
  </si>
  <si>
    <t>tl. pod niveletou</t>
  </si>
  <si>
    <t>+ cca do poloviny profilu</t>
  </si>
  <si>
    <t>tj. uvnitř</t>
  </si>
  <si>
    <t>vytlačená zemina (po kci vozovky)</t>
  </si>
  <si>
    <t>Zpětný zásyp (po kci vozovky)</t>
  </si>
  <si>
    <t>vstupní komínek</t>
  </si>
  <si>
    <t>sklovláknitá mříž</t>
  </si>
  <si>
    <t>zamykatelný poklop 600 x 900</t>
  </si>
  <si>
    <t>ks</t>
  </si>
  <si>
    <t>zrušené potrubí v dl.</t>
  </si>
  <si>
    <t>VÝZTUŽ</t>
  </si>
  <si>
    <t>narušení konstrukce vozovky</t>
  </si>
  <si>
    <t xml:space="preserve">Poklop </t>
  </si>
  <si>
    <t>d =</t>
  </si>
  <si>
    <t xml:space="preserve">VÝMĚNA POKLOPU navazující šachty </t>
  </si>
  <si>
    <t>Objem čtyřbokého komolého jeklanu</t>
  </si>
  <si>
    <t>V=1/6*h*((2a1+a2)*b1 + (2a2+a1)*b2)</t>
  </si>
  <si>
    <t>a2</t>
  </si>
  <si>
    <t>b2</t>
  </si>
  <si>
    <t>a1</t>
  </si>
  <si>
    <t>b1</t>
  </si>
  <si>
    <t>skut. V=</t>
  </si>
  <si>
    <t>dno výkopu</t>
  </si>
  <si>
    <t>hl. bez vozovky</t>
  </si>
  <si>
    <t>DN1000</t>
  </si>
  <si>
    <t>skruž v.</t>
  </si>
  <si>
    <t>x</t>
  </si>
  <si>
    <t>přechod. konus</t>
  </si>
  <si>
    <t>celkem</t>
  </si>
  <si>
    <t>výška spoje? - kce šachty!</t>
  </si>
  <si>
    <t>-&gt;</t>
  </si>
  <si>
    <t xml:space="preserve">objem (vytlač.zemina) </t>
  </si>
  <si>
    <t>tl. stěny</t>
  </si>
  <si>
    <t>poklop</t>
  </si>
  <si>
    <t>dno</t>
  </si>
  <si>
    <t>Poklop D400</t>
  </si>
  <si>
    <t>odhumusování</t>
  </si>
  <si>
    <t>- odhumusování</t>
  </si>
  <si>
    <t>- šikmý výkop celkem (CIVIL)</t>
  </si>
  <si>
    <t>- šz toho ornice tl. 0,2 (CIVIL)</t>
  </si>
  <si>
    <t>Objem:</t>
  </si>
  <si>
    <t>kolmý výkop</t>
  </si>
  <si>
    <t>až</t>
  </si>
  <si>
    <t>(uvnitř)</t>
  </si>
  <si>
    <t xml:space="preserve">sklon zadní stěny </t>
  </si>
  <si>
    <t>1:</t>
  </si>
  <si>
    <t>na výšku</t>
  </si>
  <si>
    <t>celková výška po strop</t>
  </si>
  <si>
    <t>h1 =</t>
  </si>
  <si>
    <t>š1</t>
  </si>
  <si>
    <t>dl1</t>
  </si>
  <si>
    <t>š2</t>
  </si>
  <si>
    <t>dl2</t>
  </si>
  <si>
    <t>2x vstupní otvor</t>
  </si>
  <si>
    <t>vytlačená zemina (po ornici)</t>
  </si>
  <si>
    <t>Zpětný zásyp (po ornici)</t>
  </si>
  <si>
    <t>ohumusování</t>
  </si>
  <si>
    <t>Poklop 600 x 800</t>
  </si>
  <si>
    <t>Poklop 600 x 1200</t>
  </si>
  <si>
    <t>U profil pro manipulaci s dlužemi</t>
  </si>
  <si>
    <t>4x 3,5m</t>
  </si>
  <si>
    <t>2 řady</t>
  </si>
  <si>
    <t xml:space="preserve">Hradící dluže - 2 řady </t>
  </si>
  <si>
    <t>hradící dluže</t>
  </si>
  <si>
    <t>max. výška 3m</t>
  </si>
  <si>
    <t>x 2</t>
  </si>
  <si>
    <t xml:space="preserve">rozšíření u dna </t>
  </si>
  <si>
    <t xml:space="preserve">tj. na </t>
  </si>
  <si>
    <t xml:space="preserve">tl. stěny </t>
  </si>
  <si>
    <t>tl. stěn betonového potrubí PREFA</t>
  </si>
  <si>
    <t>DN300</t>
  </si>
  <si>
    <t>DN400</t>
  </si>
  <si>
    <t>DN500</t>
  </si>
  <si>
    <t>DN600</t>
  </si>
  <si>
    <t>DN800</t>
  </si>
  <si>
    <t>vtok nad dnem</t>
  </si>
  <si>
    <t>výška stěny šachty ode dna po ornicí min.</t>
  </si>
  <si>
    <t>výška stěny šachty ode dna po ornici max..</t>
  </si>
  <si>
    <t>Vyvložkování potrubí</t>
  </si>
  <si>
    <t>- mezi HK a rybníkem</t>
  </si>
  <si>
    <t>HRADIDLOVÁ KOMORA 08.11</t>
  </si>
  <si>
    <t>Vyskládání vstupní části šachty:</t>
  </si>
  <si>
    <t>rozdíl mezi vyskládáním šachty a výškou komína=</t>
  </si>
  <si>
    <t>HRADIDLOVÁ KOMORA SO 08.09</t>
  </si>
  <si>
    <t>- ACO (tl. 0,04m)</t>
  </si>
  <si>
    <t>- ACP (tl. 0,07m)</t>
  </si>
  <si>
    <r>
      <t>- ŠD</t>
    </r>
    <r>
      <rPr>
        <sz val="9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(tl. 0,15m)</t>
    </r>
  </si>
  <si>
    <r>
      <t>- ŠD</t>
    </r>
    <r>
      <rPr>
        <sz val="9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(tl. 0,15m)</t>
    </r>
  </si>
  <si>
    <r>
      <t>- ŠD</t>
    </r>
    <r>
      <rPr>
        <sz val="9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(tl. 0,15m)</t>
    </r>
  </si>
  <si>
    <r>
      <t>- ŠD</t>
    </r>
    <r>
      <rPr>
        <sz val="9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(tl. 0,15m)</t>
    </r>
  </si>
  <si>
    <t>plocha bednění pro stěny HK</t>
  </si>
  <si>
    <t>plocha bednění pro strop</t>
  </si>
  <si>
    <t>plocha bednění pro vstupní komínek</t>
  </si>
  <si>
    <t>plocha bednění pro dno HK</t>
  </si>
  <si>
    <t>Pažení na plochu</t>
  </si>
  <si>
    <t>Potrubí BT DN</t>
  </si>
  <si>
    <t>dl.=</t>
  </si>
  <si>
    <t>š. čela v úrovni prac. spáry</t>
  </si>
  <si>
    <t>viz.výkres</t>
  </si>
  <si>
    <t>HRADIDLOVÁ KOMORA SO 08.10</t>
  </si>
  <si>
    <t>Pažení na plochu - mezi plání a nad potrubím</t>
  </si>
  <si>
    <t>x 2=</t>
  </si>
  <si>
    <t>dl. pažení</t>
  </si>
  <si>
    <t>tl. stěny betonového potrubí PREFA</t>
  </si>
  <si>
    <t>výkop pomocný</t>
  </si>
  <si>
    <t>dorovnání prstenci dle parametrů použitých šacht. dílců</t>
  </si>
  <si>
    <t>ČERPÁNÍ</t>
  </si>
  <si>
    <t>ŠACHTA S UZÁVĚREM SO 08.13</t>
  </si>
  <si>
    <t>VÝUSTNÍ OBJEKT DEŠŤOVÉ KANALIZACE SO 08.13</t>
  </si>
  <si>
    <t>stupadla</t>
  </si>
  <si>
    <t>sklovláknitá mříž 0,5m od poklopu + 10%</t>
  </si>
  <si>
    <t>Stupadla</t>
  </si>
  <si>
    <t>výplňový beton (potrubí 0,2m nad kcí dna)</t>
  </si>
  <si>
    <t>Pažení na plochu - od povrchu nad potrubí</t>
  </si>
  <si>
    <t xml:space="preserve">Pozn.: výška pažení = hl. výkopu -  ukončení nade dnem (viz.výkres) </t>
  </si>
  <si>
    <t>v. pažení</t>
  </si>
  <si>
    <t>(pažení ukončeno nad úrovní souběžného potrubí)</t>
  </si>
  <si>
    <t>(viz. výkres)</t>
  </si>
  <si>
    <t>včetně poklopu</t>
  </si>
  <si>
    <t>bez poklopu</t>
  </si>
  <si>
    <t xml:space="preserve">-teoretický výkop </t>
  </si>
  <si>
    <t>-objem stávající šachty cca</t>
  </si>
  <si>
    <t xml:space="preserve">-&gt; vykopaná zemina </t>
  </si>
  <si>
    <t>m3 beton</t>
  </si>
  <si>
    <t xml:space="preserve">a </t>
  </si>
  <si>
    <t>m3 vzduch</t>
  </si>
  <si>
    <t>předpokládané rozměry stávající šachty (kam. průzkum)</t>
  </si>
  <si>
    <t>prům. dna</t>
  </si>
  <si>
    <t>vst. komín</t>
  </si>
  <si>
    <t>(tl. stropu 0,25m?)</t>
  </si>
  <si>
    <t>v. dna</t>
  </si>
  <si>
    <t>(tl. stěn 0,2m?)</t>
  </si>
  <si>
    <t xml:space="preserve">-objem zaústěného dešť.potrubí </t>
  </si>
  <si>
    <t>vytlačená zemina (po kci vozovky)- pomocné</t>
  </si>
  <si>
    <t>obnovení zatravněné plochy</t>
  </si>
  <si>
    <t>(tl. dna 0,2m?)</t>
  </si>
  <si>
    <t>v nezp. terénu poklop vyveden nad terén</t>
  </si>
  <si>
    <t>kce chodníku/ornice</t>
  </si>
  <si>
    <t>Výkop</t>
  </si>
  <si>
    <t xml:space="preserve">- od terénu po prac. spáru pod dlažbou </t>
  </si>
  <si>
    <t xml:space="preserve">- rozšíření pro základ VO </t>
  </si>
  <si>
    <t>- doplnění pro základ opěrných křídel</t>
  </si>
  <si>
    <t>- rozšíření pro opěrný práh</t>
  </si>
  <si>
    <t>opěrná křídla</t>
  </si>
  <si>
    <t>základ pro opěrná křídla</t>
  </si>
  <si>
    <t>dlažba do beton</t>
  </si>
  <si>
    <t>kámen tl.</t>
  </si>
  <si>
    <t>do bet. tl.</t>
  </si>
  <si>
    <t>ukončena opěrným prahem tl. 0,3m</t>
  </si>
  <si>
    <t>základ navazuje na základ VO - 0,4m</t>
  </si>
  <si>
    <t>sklon přední a zadní stěny 1:</t>
  </si>
  <si>
    <t>Potrubí</t>
  </si>
  <si>
    <t>beton</t>
  </si>
  <si>
    <t>DN</t>
  </si>
  <si>
    <t>dl. v ose</t>
  </si>
  <si>
    <t>v. potrubí nad prac. spárou</t>
  </si>
  <si>
    <t>"křídla" VO š. 0,3m včetně základu</t>
  </si>
  <si>
    <t>plocha bednění pro základ VO</t>
  </si>
  <si>
    <t>plocha bednění pro čelo VO</t>
  </si>
  <si>
    <t>plocha bednění pro křídla VO</t>
  </si>
  <si>
    <t>opěrný práh ukončující dlažbu</t>
  </si>
  <si>
    <t>plocha bednění pro opěrný práh</t>
  </si>
  <si>
    <t>- RM (tl. 0,06m)</t>
  </si>
  <si>
    <t>- MZ (tl. 0,15m)</t>
  </si>
  <si>
    <t>obnovení chodníku na ploše*</t>
  </si>
  <si>
    <t>* RM = rec. materiál, MZ (mech.hutněná zemina - možno nahradit štěrkodrtí, která má lepší vlastnosti)</t>
  </si>
  <si>
    <t>šikmá zpětná klapka pro zasunutí do trouby DN400</t>
  </si>
  <si>
    <t>hradidlový uzávěr DN 400</t>
  </si>
  <si>
    <t>Hradidlový uzávěr DN500</t>
  </si>
  <si>
    <t>Šoupátkový poklop (na ovládání uzávěru)</t>
  </si>
  <si>
    <t>(otvor do stropní desky bude odvrtán, tyč umístěna do chráničky)</t>
  </si>
  <si>
    <t>chránička na ovl. tyč DN100</t>
  </si>
  <si>
    <t>(zvolen větší profil klapky z důvodu šikmého napojení potrubí do VO)</t>
  </si>
  <si>
    <t>Svislá zpětná klapka DN800</t>
  </si>
  <si>
    <t>Teleskopické prodloužení vřetena* dl.</t>
  </si>
  <si>
    <t>https://www.buesch.com/uploads/media/buesch-mas-ovl--dac---sada-2-cs.pdf</t>
  </si>
  <si>
    <t>*Teleskopické prodloužení vřetena je standartně pro montážní hl. do 3m, nebo 3-6m</t>
  </si>
  <si>
    <t>(otvor do stropní desky bude odvrtán -prům. cca 5cm, tyč umístěna do chráničky)</t>
  </si>
  <si>
    <t>UTĚSNĚNÍ POTRUBÍ DN600</t>
  </si>
  <si>
    <t>X</t>
  </si>
  <si>
    <t>Tělo VO z betonu C30/37 XF4</t>
  </si>
  <si>
    <t>Základ VO z betonu C30/37</t>
  </si>
  <si>
    <t>Čerpání vody z výkopu!</t>
  </si>
  <si>
    <t>drenážní rýha s potrubím obsypaným štěrkem</t>
  </si>
  <si>
    <t>(nezahrnuta stáv. dlažba a ornice)</t>
  </si>
  <si>
    <t>odstranění ornice na ploše výkopu</t>
  </si>
  <si>
    <t>odstranění ornice na ploše pro opevnění VO včetně výkopu</t>
  </si>
  <si>
    <t>opevnění VO dlažbou 250mm do betonu tl.150mm</t>
  </si>
  <si>
    <t>Odstranění stávajícího opevnění dlažbou stávajícího VO</t>
  </si>
  <si>
    <t>Dno HK z betonu C30/37 XF4</t>
  </si>
  <si>
    <t>(tl. dna 0,3m?)</t>
  </si>
  <si>
    <t>dno výkopu (š.dna + 2*0,6m)</t>
  </si>
  <si>
    <t>výška zámku skruže (PREFA)</t>
  </si>
  <si>
    <t>pozn.: zemní souprava BUSCH je uzpůsobena uložení v zemi, součástí i šoup. poklop</t>
  </si>
  <si>
    <t>souprava délky do 3m, nebo 3-6m</t>
  </si>
  <si>
    <t>Hradidlový uzávěr DN300</t>
  </si>
  <si>
    <t>400/600</t>
  </si>
  <si>
    <t>500/700</t>
  </si>
  <si>
    <t>prac. průměr</t>
  </si>
  <si>
    <t>(pažení ukončeno nad potrubím)</t>
  </si>
  <si>
    <t>Nadzemní suprava pro ovládání uzávěru</t>
  </si>
  <si>
    <t>ČERPÁNÍ PRO ODVODNĚNÍ VÝKOPU</t>
  </si>
  <si>
    <t xml:space="preserve">UTĚSNĚNÍ POTRUBÍ </t>
  </si>
  <si>
    <t>Přečerpávání odpadní vody!</t>
  </si>
  <si>
    <t>HRADIDLOVÁ KOMORA HK1 SO 08.13 (U Tenisu)</t>
  </si>
  <si>
    <t>HRADIDLOVÁ KOMORA HK2 SO 08.13 (Vsadsko)</t>
  </si>
  <si>
    <t>Utěsnění přítok. potrubí DN900 a DN300</t>
  </si>
  <si>
    <t>Utěsnění přítok. potrubí DN500</t>
  </si>
  <si>
    <t>Utěsnění přítok. a odtok. potrubí DN500</t>
  </si>
  <si>
    <t>Přečerpávání odpadní vody - jen za deště</t>
  </si>
  <si>
    <t>OSAZENÍ ZPĚTNÝCH KLAPEK</t>
  </si>
  <si>
    <t>HRADIDLOVÁ KOMORA SO 08.14</t>
  </si>
  <si>
    <t>DLE VÝPISU MATERIÁLU VE VÝKRESU VÝZTUŽE</t>
  </si>
  <si>
    <t>VYVLOŽKOVÁNÍ ODLEHČOVACÍ STOKY</t>
  </si>
  <si>
    <t>protažení rukávce na potrubí DN</t>
  </si>
  <si>
    <t>v dl.</t>
  </si>
  <si>
    <t>PŘEPOJENÍ STÁVAJÍCÍCH PŘÍPOJEK</t>
  </si>
  <si>
    <t>Přípojky od uličních vpustí</t>
  </si>
  <si>
    <t>Přípojky od dešťových svodů</t>
  </si>
  <si>
    <t>DEŠŤOVÁ KANALIZACE "U TENISU"</t>
  </si>
  <si>
    <t>trouby ŽB</t>
  </si>
  <si>
    <t>trouby BETON</t>
  </si>
  <si>
    <t>pražec</t>
  </si>
  <si>
    <t>x20x40</t>
  </si>
  <si>
    <t>min. š. výkopu</t>
  </si>
  <si>
    <t>včetně pažení</t>
  </si>
  <si>
    <t>tl. trouby</t>
  </si>
  <si>
    <t>mm</t>
  </si>
  <si>
    <t>betonové lože viz. tab.</t>
  </si>
  <si>
    <t>F=</t>
  </si>
  <si>
    <t>m3/m</t>
  </si>
  <si>
    <t>obetonování viz. tab.</t>
  </si>
  <si>
    <t>trouby ŽB s obetonováním</t>
  </si>
  <si>
    <t>tj.</t>
  </si>
  <si>
    <t>kubatura výkopu</t>
  </si>
  <si>
    <t>staničení</t>
  </si>
  <si>
    <t>bet. lože</t>
  </si>
  <si>
    <t>obetonování</t>
  </si>
  <si>
    <t>vytlač. zemina</t>
  </si>
  <si>
    <t>ornice</t>
  </si>
  <si>
    <t>tl. ornice</t>
  </si>
  <si>
    <t>komunikace tl.</t>
  </si>
  <si>
    <t>zpětný zásyp</t>
  </si>
  <si>
    <t>potrubí</t>
  </si>
  <si>
    <t>KONCOVÁ JÁMA PROTLAKU</t>
  </si>
  <si>
    <t>STARTOVACÍ JÁMA PROTLAKU</t>
  </si>
  <si>
    <t>ornice (m2)</t>
  </si>
  <si>
    <t>vozovka (m3)</t>
  </si>
  <si>
    <t>CELKEM</t>
  </si>
  <si>
    <t>trouby B s obetonováním</t>
  </si>
  <si>
    <t>h.=</t>
  </si>
  <si>
    <t>pažení</t>
  </si>
  <si>
    <t>výkop</t>
  </si>
  <si>
    <t>(0,6m pod niveletou potrubí, bez kce vozovky)</t>
  </si>
  <si>
    <t>hl. výkopu dána niveletou výkopu pro HK1</t>
  </si>
  <si>
    <t>startovací jáma použita jako výkop pro HK1 -&gt; vše u HK1</t>
  </si>
  <si>
    <t>pro rozměry jámy uvažováno rozšíření pro pažení tl. 0,2m</t>
  </si>
  <si>
    <t>(0,5m pod niveletou potrubí, bez ornice)</t>
  </si>
  <si>
    <t>-šachta</t>
  </si>
  <si>
    <t>-potrubí</t>
  </si>
  <si>
    <t>Vyskládání šachty Š1</t>
  </si>
  <si>
    <t>prstence</t>
  </si>
  <si>
    <t>tj. převýšení nad terén</t>
  </si>
  <si>
    <t>Vyskládání šachty Š2</t>
  </si>
  <si>
    <t>terén - niveleta</t>
  </si>
  <si>
    <t>šachtové dno DN1000</t>
  </si>
  <si>
    <t>po niveletu</t>
  </si>
  <si>
    <t>po ornici</t>
  </si>
  <si>
    <t>protlak dl.</t>
  </si>
  <si>
    <t>znovu rozprostření bez šachty</t>
  </si>
  <si>
    <t>VÝMĚNA POKLOPŮ NA ODLEHČOVACÍ STOCE</t>
  </si>
  <si>
    <t xml:space="preserve">Tlakový poklop </t>
  </si>
  <si>
    <r>
      <t>Poklop D400 -</t>
    </r>
    <r>
      <rPr>
        <sz val="11"/>
        <color rgb="FFFF0000"/>
        <rFont val="Calibri"/>
        <family val="2"/>
        <scheme val="minor"/>
      </rPr>
      <t xml:space="preserve"> tlakový</t>
    </r>
  </si>
  <si>
    <t>(1 šachta umístěna v nezpevněném terénu)</t>
  </si>
  <si>
    <t>sklovláknitá mříž 0,5m od poklopu + 10% (šachty ve vozovce)</t>
  </si>
  <si>
    <t>narušení a obnovení  konstrukce vozovky/chodníku tl. 0,2m</t>
  </si>
  <si>
    <t xml:space="preserve">výměna vpusti (změna směru n. výšky odtoku) </t>
  </si>
  <si>
    <t xml:space="preserve">dl. odstraněné části přípojky </t>
  </si>
  <si>
    <t>vpust
terén</t>
  </si>
  <si>
    <t>niveleta kanalizace</t>
  </si>
  <si>
    <t>NOVÉ PŘIPOJENÍ</t>
  </si>
  <si>
    <t>SKLON
přípojky</t>
  </si>
  <si>
    <t>ODTOK vpusti</t>
  </si>
  <si>
    <t>DN
přípojky</t>
  </si>
  <si>
    <t>POZN.</t>
  </si>
  <si>
    <t>UV1</t>
  </si>
  <si>
    <t>UV2</t>
  </si>
  <si>
    <t>křížení kabelů VN, sděl., PLYN</t>
  </si>
  <si>
    <t xml:space="preserve">
terén</t>
  </si>
  <si>
    <t>ODTOK (svod)</t>
  </si>
  <si>
    <t>prům.
hloubka</t>
  </si>
  <si>
    <t>terén</t>
  </si>
  <si>
    <t>komunikace</t>
  </si>
  <si>
    <t>nezpevněno</t>
  </si>
  <si>
    <t>ANO</t>
  </si>
  <si>
    <t>neodstr.</t>
  </si>
  <si>
    <t>VÝKOP š.1m 
(m3)</t>
  </si>
  <si>
    <t>dl. nové 
přípojky</t>
  </si>
  <si>
    <t>UV3</t>
  </si>
  <si>
    <t>křížení vodovodu, plynu</t>
  </si>
  <si>
    <t>trafostanice</t>
  </si>
  <si>
    <t>pozn.</t>
  </si>
  <si>
    <t>RŠ</t>
  </si>
  <si>
    <t>UV4</t>
  </si>
  <si>
    <t>Přípojky JINÉ</t>
  </si>
  <si>
    <t>parkoviště?</t>
  </si>
  <si>
    <t>-</t>
  </si>
  <si>
    <t>Přípojka ponechána a osazena revizní šachta se zpětnou klapkou</t>
  </si>
  <si>
    <t>UV5</t>
  </si>
  <si>
    <t>UV6</t>
  </si>
  <si>
    <t>ANO-odtok ze dna</t>
  </si>
  <si>
    <t>UV7</t>
  </si>
  <si>
    <t>NE</t>
  </si>
  <si>
    <t>č.p. 2257 (č.o. 64)</t>
  </si>
  <si>
    <t>kom.4m,ch.</t>
  </si>
  <si>
    <t xml:space="preserve">nelze </t>
  </si>
  <si>
    <t>křížení kabelů NN, VN, vodovod, plyn</t>
  </si>
  <si>
    <t>UV8</t>
  </si>
  <si>
    <t>přípojka zaslepena</t>
  </si>
  <si>
    <t>sit. posun</t>
  </si>
  <si>
    <t>kříží vodovod, šoup.</t>
  </si>
  <si>
    <t>č.p. 2324 (č.o. 46)</t>
  </si>
  <si>
    <t>č.p. 2306 (č.o. 44) a č.p. 2324 (č.o. 46)</t>
  </si>
  <si>
    <t>kom.3m,ch.2,8</t>
  </si>
  <si>
    <t>křížení OS4A</t>
  </si>
  <si>
    <t>křížení kabelů NN, VN, plyn, OS4A</t>
  </si>
  <si>
    <t>napojení shora</t>
  </si>
  <si>
    <t xml:space="preserve">č.p. 2306 (č.o. 44) </t>
  </si>
  <si>
    <t>křížení kabelů VN,NN,sděl., vody, OS4A</t>
  </si>
  <si>
    <t>kom.5m,ch.3,5, zatr.dl.7,7, dl.</t>
  </si>
  <si>
    <t>napojení shora
KABELY!</t>
  </si>
  <si>
    <t>č.p. 2827 (č.o. 42)</t>
  </si>
  <si>
    <t>nezp., kom.1m</t>
  </si>
  <si>
    <t>křížení plyn</t>
  </si>
  <si>
    <t>vodovodní šachta</t>
  </si>
  <si>
    <t>přípojek</t>
  </si>
  <si>
    <t>nových vpustí</t>
  </si>
  <si>
    <t>není zaměřeno</t>
  </si>
  <si>
    <t>přípojky</t>
  </si>
  <si>
    <t>přípojek, z toho 1 jen zrušená</t>
  </si>
  <si>
    <t>Jednotná - č.p. 2321 (č.o. 48)</t>
  </si>
  <si>
    <t>zaslepení</t>
  </si>
  <si>
    <t>Přepojení</t>
  </si>
  <si>
    <t>svislá zpětná klapka</t>
  </si>
  <si>
    <t>DN 150</t>
  </si>
  <si>
    <t>DN 400</t>
  </si>
  <si>
    <t>vnější rozměry klapky</t>
  </si>
  <si>
    <t>(+0,2m od vnějších rozměrů klapky)</t>
  </si>
  <si>
    <t>vyrovnání plochy pro osazení klapky (+/-2mm)</t>
  </si>
  <si>
    <t>šikmá zpětná klapka s VO</t>
  </si>
  <si>
    <t>(předpoklad dlažby 0,25m do betonu 0,15m na dl.1m)</t>
  </si>
  <si>
    <t>vybourání a obnovení stáv. dlažby v min. šířce</t>
  </si>
  <si>
    <t>úprava opevnění pod vyústěním:</t>
  </si>
  <si>
    <t>(tvárnice tl.0,14m do betonu tl. 0,1m na dl.1m)</t>
  </si>
  <si>
    <t>vybourání a obnovení stáv. bet. žlabu š.</t>
  </si>
  <si>
    <t>žlabovka</t>
  </si>
  <si>
    <t>dl=</t>
  </si>
  <si>
    <t>počet žlabovek pro obnovení žlabu</t>
  </si>
  <si>
    <t>podkladový beton C 25/30 XF3 tl. 0,1m</t>
  </si>
  <si>
    <t>DN 300</t>
  </si>
  <si>
    <t>provizorní hrazení + čerpání</t>
  </si>
  <si>
    <t>hl. nivelety pod břehovou hranou</t>
  </si>
  <si>
    <t>sklon břehu 1:</t>
  </si>
  <si>
    <t>z toho zasunutí do trouby dl.</t>
  </si>
  <si>
    <t>dle VzPR nad potrubím min. 0,2m</t>
  </si>
  <si>
    <t>dle rozměrů</t>
  </si>
  <si>
    <t>potrubí nade dnem</t>
  </si>
  <si>
    <t>+ opěrná křídla</t>
  </si>
  <si>
    <t>tl</t>
  </si>
  <si>
    <t>v</t>
  </si>
  <si>
    <t>vnější rozměry šikmé klapky</t>
  </si>
  <si>
    <t xml:space="preserve">svah opevněný kamennou rovnaninou -&gt; </t>
  </si>
  <si>
    <t>vrch klapky nad osou</t>
  </si>
  <si>
    <t>&lt;-</t>
  </si>
  <si>
    <t>šikmá zpětná klapka bez VO</t>
  </si>
  <si>
    <t>DN 200</t>
  </si>
  <si>
    <t>výkop včetně opevnění svahu (základ + 0,6m kolem)</t>
  </si>
  <si>
    <t>hl výkopu pod přehovou hranou</t>
  </si>
  <si>
    <t>Výkop z CIVILu</t>
  </si>
  <si>
    <t>Skutečný výkop bude pravděpodobně menší - max. k opěrné zdi (není zaměřená)</t>
  </si>
  <si>
    <t>- mezi novou HK a stávající h. šachtou</t>
  </si>
  <si>
    <t>obložení dna a žlabu čedičem</t>
  </si>
  <si>
    <t>l/s</t>
  </si>
  <si>
    <t>max.</t>
  </si>
  <si>
    <r>
      <t xml:space="preserve">ČERPÁNÍ ODPADNÍ VODY Z KANALIZACE </t>
    </r>
    <r>
      <rPr>
        <sz val="11"/>
        <color rgb="FFFF0000"/>
        <rFont val="Calibri"/>
        <family val="2"/>
        <scheme val="minor"/>
      </rPr>
      <t>- 2x</t>
    </r>
  </si>
  <si>
    <t>přípojka do šachty 1813</t>
  </si>
  <si>
    <t>OSAZENÍ ZPĚTNÉ KLAPKY</t>
  </si>
  <si>
    <t>1 přípojka ponechána</t>
  </si>
  <si>
    <t xml:space="preserve">Dle TZ </t>
  </si>
  <si>
    <t>křížení</t>
  </si>
  <si>
    <t>a ve VV máme</t>
  </si>
  <si>
    <t xml:space="preserve"> (tenis + dešťovka+ jedna beze změny) -&gt;</t>
  </si>
  <si>
    <t xml:space="preserve"> (vodovod, již přeloženo)</t>
  </si>
  <si>
    <t>DN200</t>
  </si>
  <si>
    <t>ZPĚTNÁ KLAPKA NA NEZNÁMÉ VÝUSTI SO 08.03</t>
  </si>
  <si>
    <t>SO 11</t>
  </si>
  <si>
    <t>Sjezd do toku Bečvy 243 m2</t>
  </si>
  <si>
    <t>Výkop části nad vodou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</si>
  <si>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</si>
  <si>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Výkop části pod vodou</t>
  </si>
  <si>
    <r>
      <t xml:space="preserve">Konstrukce sjezdu </t>
    </r>
    <r>
      <rPr>
        <b/>
        <u val="single"/>
        <sz val="10"/>
        <rFont val="Arial"/>
        <family val="2"/>
      </rPr>
      <t>206.90</t>
    </r>
    <r>
      <rPr>
        <u val="single"/>
        <sz val="10"/>
        <rFont val="Arial"/>
        <family val="2"/>
      </rPr>
      <t xml:space="preserve"> m</t>
    </r>
    <r>
      <rPr>
        <u val="single"/>
        <vertAlign val="superscript"/>
        <sz val="10"/>
        <rFont val="Arial"/>
        <family val="2"/>
      </rPr>
      <t>2</t>
    </r>
  </si>
  <si>
    <t xml:space="preserve"> - Silniční panel 3.0 x 1.5 m</t>
  </si>
  <si>
    <t xml:space="preserve"> - Štěrkové lože fr. 4/32 mm</t>
  </si>
  <si>
    <t xml:space="preserve"> - Sanační kamenivo fr. 0-150 mm</t>
  </si>
  <si>
    <t xml:space="preserve"> - Separační geotextilie 500 g/m2</t>
  </si>
  <si>
    <r>
      <t xml:space="preserve">Konstrukce sjezdu pod hladinou </t>
    </r>
    <r>
      <rPr>
        <b/>
        <u val="single"/>
        <sz val="10"/>
        <rFont val="Arial"/>
        <family val="2"/>
      </rPr>
      <t>52.96</t>
    </r>
    <r>
      <rPr>
        <u val="single"/>
        <sz val="10"/>
        <rFont val="Arial"/>
        <family val="2"/>
      </rPr>
      <t xml:space="preserve"> m</t>
    </r>
    <r>
      <rPr>
        <u val="single"/>
        <vertAlign val="superscript"/>
        <sz val="10"/>
        <rFont val="Arial"/>
        <family val="2"/>
      </rPr>
      <t>2</t>
    </r>
  </si>
  <si>
    <t xml:space="preserve"> - Lomový kámen fr. 125-250 mm</t>
  </si>
  <si>
    <r>
      <t xml:space="preserve">Opevnění svahu náplavky kamennou rovnaninou </t>
    </r>
    <r>
      <rPr>
        <b/>
        <u val="single"/>
        <sz val="10"/>
        <rFont val="Arial"/>
        <family val="2"/>
      </rPr>
      <t>46.85</t>
    </r>
    <r>
      <rPr>
        <u val="single"/>
        <sz val="10"/>
        <rFont val="Arial"/>
        <family val="2"/>
      </rPr>
      <t xml:space="preserve">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</t>
    </r>
  </si>
  <si>
    <t xml:space="preserve"> - z kamene hmotnosti nad 80 kg, tl. 300 mm</t>
  </si>
  <si>
    <t xml:space="preserve"> - včetně podkladních vrtsev ze štěrkopísku tl 15 cm</t>
  </si>
  <si>
    <t>Ostatní</t>
  </si>
  <si>
    <t xml:space="preserve"> - demontáž pacholat před realizací a jejich zpětné osazení na místo dle určení správce toku</t>
  </si>
  <si>
    <t>2 ks</t>
  </si>
  <si>
    <t xml:space="preserve"> - odrazové zrcadlo</t>
  </si>
  <si>
    <t xml:space="preserve"> - v rámci provádění se předpokládá zřízení a následné odstranění dočasné ochranné hrázky z důvodu umožnění prací v korytě toku</t>
  </si>
  <si>
    <t xml:space="preserve"> - délka hrázky 30 m, lplocha v profilu 2,0 m2, celkem objem 60 m3</t>
  </si>
  <si>
    <t xml:space="preserve"> - nutné uvažovat i čerpání příapdných průsaků z jímky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</si>
</sst>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2" tint="-0.499969989061355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0" tint="-0.349979996681213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 tint="0.34999001026153564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i/>
      <strike/>
      <sz val="11"/>
      <color theme="0" tint="-0.4999699890613556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u val="single"/>
      <sz val="10"/>
      <name val="Arial"/>
      <family val="2"/>
    </font>
    <font>
      <u val="single"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131">
    <xf numFmtId="0" fontId="0" fillId="0" borderId="0" xfId="0"/>
    <xf numFmtId="2" fontId="0" fillId="0" borderId="0" xfId="0" applyNumberFormat="1"/>
    <xf numFmtId="2" fontId="0" fillId="0" borderId="0" xfId="0" applyNumberForma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/>
    <xf numFmtId="2" fontId="3" fillId="0" borderId="0" xfId="0" applyNumberFormat="1" applyFont="1"/>
    <xf numFmtId="0" fontId="2" fillId="0" borderId="0" xfId="0" applyFont="1" quotePrefix="1"/>
    <xf numFmtId="0" fontId="4" fillId="0" borderId="0" xfId="0" applyFont="1" quotePrefix="1"/>
    <xf numFmtId="0" fontId="4" fillId="0" borderId="0" xfId="0" applyFont="1"/>
    <xf numFmtId="2" fontId="4" fillId="0" borderId="0" xfId="0" applyNumberFormat="1" applyFont="1"/>
    <xf numFmtId="0" fontId="0" fillId="0" borderId="0" xfId="0" applyFont="1"/>
    <xf numFmtId="0" fontId="2" fillId="0" borderId="0" xfId="0" applyFon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0" applyFont="1" applyFill="1"/>
    <xf numFmtId="0" fontId="0" fillId="2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2" fontId="6" fillId="0" borderId="0" xfId="0" applyNumberFormat="1" applyFont="1"/>
    <xf numFmtId="2" fontId="0" fillId="0" borderId="0" xfId="0" applyNumberFormat="1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8" fillId="0" borderId="0" xfId="0" applyFont="1" quotePrefix="1"/>
    <xf numFmtId="0" fontId="8" fillId="0" borderId="0" xfId="0" applyFont="1" applyAlignment="1" quotePrefix="1">
      <alignment horizontal="right"/>
    </xf>
    <xf numFmtId="2" fontId="8" fillId="0" borderId="0" xfId="0" applyNumberFormat="1" applyFont="1"/>
    <xf numFmtId="0" fontId="8" fillId="0" borderId="0" xfId="0" applyFont="1" applyAlignment="1">
      <alignment horizontal="right"/>
    </xf>
    <xf numFmtId="2" fontId="0" fillId="2" borderId="0" xfId="0" applyNumberFormat="1" applyFill="1"/>
    <xf numFmtId="2" fontId="2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/>
    <xf numFmtId="0" fontId="2" fillId="0" borderId="0" xfId="0" applyFont="1" applyFill="1" applyBorder="1"/>
    <xf numFmtId="2" fontId="2" fillId="0" borderId="0" xfId="0" applyNumberFormat="1" applyFont="1"/>
    <xf numFmtId="2" fontId="9" fillId="0" borderId="0" xfId="0" applyNumberFormat="1" applyFont="1"/>
    <xf numFmtId="2" fontId="0" fillId="0" borderId="1" xfId="0" applyNumberFormat="1" applyBorder="1"/>
    <xf numFmtId="2" fontId="0" fillId="2" borderId="0" xfId="0" applyNumberFormat="1" applyFill="1" quotePrefix="1"/>
    <xf numFmtId="0" fontId="10" fillId="0" borderId="0" xfId="0" applyFont="1" applyAlignment="1" quotePrefix="1">
      <alignment horizontal="right"/>
    </xf>
    <xf numFmtId="0" fontId="10" fillId="0" borderId="0" xfId="0" applyFont="1" applyAlignment="1" quotePrefix="1">
      <alignment horizontal="left"/>
    </xf>
    <xf numFmtId="20" fontId="0" fillId="2" borderId="0" xfId="0" applyNumberFormat="1" applyFill="1" applyAlignment="1" quotePrefix="1">
      <alignment horizontal="right"/>
    </xf>
    <xf numFmtId="0" fontId="0" fillId="2" borderId="0" xfId="0" applyFont="1" applyFill="1" applyAlignment="1" quotePrefix="1">
      <alignment horizontal="right"/>
    </xf>
    <xf numFmtId="0" fontId="0" fillId="2" borderId="0" xfId="0" applyFill="1" applyAlignment="1" quotePrefix="1">
      <alignment horizontal="right"/>
    </xf>
    <xf numFmtId="0" fontId="2" fillId="0" borderId="0" xfId="0" applyFont="1" applyAlignment="1" quotePrefix="1">
      <alignment horizontal="left"/>
    </xf>
    <xf numFmtId="164" fontId="0" fillId="0" borderId="0" xfId="0" applyNumberFormat="1"/>
    <xf numFmtId="2" fontId="10" fillId="0" borderId="0" xfId="0" applyNumberFormat="1" applyFont="1" applyAlignment="1" quotePrefix="1">
      <alignment horizontal="right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Fill="1" applyBorder="1"/>
    <xf numFmtId="0" fontId="0" fillId="2" borderId="0" xfId="0" applyFill="1" applyBorder="1"/>
    <xf numFmtId="0" fontId="0" fillId="0" borderId="1" xfId="0" applyBorder="1" applyAlignment="1" quotePrefix="1">
      <alignment horizontal="right"/>
    </xf>
    <xf numFmtId="0" fontId="0" fillId="2" borderId="0" xfId="0" applyFill="1" applyAlignment="1">
      <alignment horizontal="left"/>
    </xf>
    <xf numFmtId="0" fontId="8" fillId="0" borderId="0" xfId="0" applyFont="1" applyAlignment="1" quotePrefix="1">
      <alignment horizontal="left"/>
    </xf>
    <xf numFmtId="2" fontId="12" fillId="0" borderId="0" xfId="0" applyNumberFormat="1" applyFont="1"/>
    <xf numFmtId="0" fontId="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14" fillId="0" borderId="0" xfId="0" applyFont="1"/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2" fontId="8" fillId="0" borderId="0" xfId="0" applyNumberFormat="1" applyFont="1" applyAlignment="1" quotePrefix="1">
      <alignment horizontal="right"/>
    </xf>
    <xf numFmtId="2" fontId="9" fillId="0" borderId="0" xfId="0" applyNumberFormat="1" applyFont="1" applyAlignment="1">
      <alignment horizontal="right"/>
    </xf>
    <xf numFmtId="0" fontId="0" fillId="0" borderId="0" xfId="0" quotePrefix="1"/>
    <xf numFmtId="0" fontId="9" fillId="0" borderId="0" xfId="0" applyFont="1" applyAlignment="1" quotePrefix="1">
      <alignment horizontal="left"/>
    </xf>
    <xf numFmtId="0" fontId="15" fillId="0" borderId="0" xfId="20"/>
    <xf numFmtId="0" fontId="12" fillId="0" borderId="0" xfId="0" applyFont="1"/>
    <xf numFmtId="0" fontId="0" fillId="0" borderId="0" xfId="0" applyAlignment="1" quotePrefix="1">
      <alignment horizontal="left"/>
    </xf>
    <xf numFmtId="2" fontId="5" fillId="0" borderId="0" xfId="0" applyNumberFormat="1" applyFont="1"/>
    <xf numFmtId="0" fontId="0" fillId="0" borderId="0" xfId="0" applyFill="1" applyBorder="1" applyAlignment="1">
      <alignment horizontal="left"/>
    </xf>
    <xf numFmtId="0" fontId="16" fillId="0" borderId="0" xfId="0" applyFont="1"/>
    <xf numFmtId="2" fontId="16" fillId="0" borderId="0" xfId="0" applyNumberFormat="1" applyFont="1"/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right"/>
    </xf>
    <xf numFmtId="0" fontId="16" fillId="2" borderId="0" xfId="0" applyFont="1" applyFill="1"/>
    <xf numFmtId="0" fontId="17" fillId="0" borderId="0" xfId="0" applyFont="1"/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4" xfId="0" applyNumberFormat="1" applyBorder="1"/>
    <xf numFmtId="0" fontId="9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 wrapText="1"/>
    </xf>
    <xf numFmtId="0" fontId="5" fillId="0" borderId="0" xfId="0" applyFont="1" applyAlignment="1">
      <alignment horizontal="left"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0" xfId="0" applyFont="1"/>
    <xf numFmtId="0" fontId="2" fillId="2" borderId="0" xfId="0" applyFont="1" applyFill="1"/>
    <xf numFmtId="0" fontId="18" fillId="0" borderId="0" xfId="0" applyFont="1"/>
    <xf numFmtId="2" fontId="0" fillId="0" borderId="0" xfId="0" applyNumberFormat="1" applyFont="1"/>
    <xf numFmtId="0" fontId="19" fillId="0" borderId="0" xfId="0" applyFont="1" applyAlignment="1" quotePrefix="1">
      <alignment horizontal="right"/>
    </xf>
    <xf numFmtId="165" fontId="19" fillId="0" borderId="0" xfId="0" applyNumberFormat="1" applyFont="1"/>
    <xf numFmtId="0" fontId="19" fillId="0" borderId="0" xfId="0" applyFont="1"/>
    <xf numFmtId="0" fontId="12" fillId="0" borderId="0" xfId="0" applyFont="1" applyAlignment="1">
      <alignment horizontal="right"/>
    </xf>
    <xf numFmtId="1" fontId="12" fillId="0" borderId="0" xfId="0" applyNumberFormat="1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" fillId="0" borderId="0" xfId="21" applyFill="1">
      <alignment/>
      <protection/>
    </xf>
    <xf numFmtId="0" fontId="21" fillId="4" borderId="5" xfId="21" applyFont="1" applyFill="1" applyBorder="1" applyAlignment="1">
      <alignment horizontal="center" vertical="center"/>
      <protection/>
    </xf>
    <xf numFmtId="0" fontId="21" fillId="0" borderId="0" xfId="21" applyFont="1" applyFill="1">
      <alignment/>
      <protection/>
    </xf>
    <xf numFmtId="0" fontId="22" fillId="0" borderId="0" xfId="21" applyFont="1" applyFill="1">
      <alignment/>
      <protection/>
    </xf>
    <xf numFmtId="2" fontId="1" fillId="0" borderId="0" xfId="21" applyNumberFormat="1" applyFill="1">
      <alignment/>
      <protection/>
    </xf>
    <xf numFmtId="1" fontId="21" fillId="4" borderId="5" xfId="21" applyNumberFormat="1" applyFont="1" applyFill="1" applyBorder="1" applyAlignment="1">
      <alignment horizontal="center" vertical="center"/>
      <protection/>
    </xf>
    <xf numFmtId="49" fontId="1" fillId="0" borderId="0" xfId="21" applyNumberFormat="1" applyFont="1" applyFill="1">
      <alignment/>
      <protection/>
    </xf>
    <xf numFmtId="49" fontId="1" fillId="0" borderId="0" xfId="21" applyNumberFormat="1" applyFont="1" applyFill="1" applyBorder="1">
      <alignment/>
      <protection/>
    </xf>
    <xf numFmtId="49" fontId="1" fillId="0" borderId="0" xfId="21" applyNumberFormat="1" applyFill="1">
      <alignment/>
      <protection/>
    </xf>
    <xf numFmtId="49" fontId="22" fillId="0" borderId="0" xfId="21" applyNumberFormat="1" applyFont="1" applyFill="1">
      <alignment/>
      <protection/>
    </xf>
    <xf numFmtId="49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11</xdr:col>
          <xdr:colOff>53340</xdr:colOff>
          <xdr:row>35</xdr:row>
          <xdr:rowOff>7620</xdr:rowOff>
        </xdr:from>
        <xdr:to>
          <xdr:col>17</xdr:col>
          <xdr:colOff>525780</xdr:colOff>
          <xdr:row>46</xdr:row>
          <xdr:rowOff>60960</xdr:rowOff>
        </xdr:to>
        <xdr:sp macro="" textlink="">
          <xdr:nvSpPr>
            <xdr:cNvPr id="12289" name="Object 1" hidden="1">
              <a:extLst xmlns:a="http://schemas.openxmlformats.org/drawingml/2006/main"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esch.com/uploads/media/buesch-mas-ovl--dac---sada-2-cs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esch.com/uploads/media/buesch-mas-ovl--dac---sada-2-cs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esch.com/uploads/media/buesch-mas-ovl--dac---sada-2-cs.pdf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1"/>
  <sheetViews>
    <sheetView view="pageBreakPreview" zoomScale="90" zoomScaleSheetLayoutView="90" workbookViewId="0" topLeftCell="A1"/>
  </sheetViews>
  <sheetFormatPr defaultColWidth="9.140625" defaultRowHeight="15"/>
  <cols>
    <col min="1" max="1" width="44.28125" style="0" customWidth="1"/>
    <col min="3" max="5" width="8.8515625" style="1" customWidth="1"/>
  </cols>
  <sheetData>
    <row r="1" ht="15">
      <c r="A1" s="33" t="s">
        <v>145</v>
      </c>
    </row>
    <row r="2" spans="1:12" ht="15">
      <c r="A2" t="s">
        <v>33</v>
      </c>
      <c r="B2" s="1"/>
      <c r="C2"/>
      <c r="J2" s="3" t="s">
        <v>35</v>
      </c>
      <c r="K2" s="24">
        <v>0.5</v>
      </c>
      <c r="L2" s="24"/>
    </row>
    <row r="3" spans="1:17" ht="15">
      <c r="A3" s="21" t="s">
        <v>34</v>
      </c>
      <c r="B3" s="1">
        <f>(5.4+3.7)/2*(K5-K4)*(2.9+2*K3)</f>
        <v>23.9785</v>
      </c>
      <c r="C3" t="s">
        <v>2</v>
      </c>
      <c r="D3" s="2"/>
      <c r="E3" s="2"/>
      <c r="J3" t="s">
        <v>36</v>
      </c>
      <c r="K3" s="24">
        <v>0.1</v>
      </c>
      <c r="L3" s="24" t="s">
        <v>0</v>
      </c>
      <c r="O3" s="6"/>
      <c r="P3" s="7"/>
      <c r="Q3" s="7"/>
    </row>
    <row r="4" spans="1:17" ht="15">
      <c r="A4" s="21"/>
      <c r="B4" s="1"/>
      <c r="C4"/>
      <c r="J4" s="3" t="s">
        <v>37</v>
      </c>
      <c r="K4" s="24">
        <f>0.04+0.07+0.15+0.15</f>
        <v>0.41000000000000003</v>
      </c>
      <c r="L4" s="24" t="s">
        <v>0</v>
      </c>
      <c r="O4" s="6"/>
      <c r="P4" s="7"/>
      <c r="Q4" s="7"/>
    </row>
    <row r="5" spans="1:17" ht="15">
      <c r="A5" t="s">
        <v>40</v>
      </c>
      <c r="B5" s="66">
        <f>0.1*K8*K9</f>
        <v>1.073</v>
      </c>
      <c r="C5" t="s">
        <v>2</v>
      </c>
      <c r="D5" s="2"/>
      <c r="J5" s="3" t="s">
        <v>4</v>
      </c>
      <c r="K5" s="24">
        <v>2.11</v>
      </c>
      <c r="L5" s="24" t="s">
        <v>0</v>
      </c>
      <c r="O5" s="6"/>
      <c r="P5" s="7"/>
      <c r="Q5" s="7"/>
    </row>
    <row r="6" spans="1:17" ht="15">
      <c r="A6" t="s">
        <v>41</v>
      </c>
      <c r="B6" s="1">
        <f>K11*K12*K10</f>
        <v>1.008</v>
      </c>
      <c r="C6" t="s">
        <v>2</v>
      </c>
      <c r="D6" s="2"/>
      <c r="O6" s="6"/>
      <c r="P6" s="7"/>
      <c r="Q6" s="7"/>
    </row>
    <row r="7" spans="1:15" ht="13.8" customHeight="1">
      <c r="A7" t="s">
        <v>50</v>
      </c>
      <c r="B7" s="1">
        <f>2*K11*K13*K14+2*(K12-2*K14)*K13*K14-2*3.14*K17^2/4*K14</f>
        <v>2.2496400000000003</v>
      </c>
      <c r="C7" t="s">
        <v>2</v>
      </c>
      <c r="D7" s="2"/>
      <c r="J7" s="3"/>
      <c r="M7" s="9"/>
      <c r="N7" s="9"/>
      <c r="O7" s="3" t="s">
        <v>61</v>
      </c>
    </row>
    <row r="8" spans="1:17" ht="15">
      <c r="A8" t="s">
        <v>51</v>
      </c>
      <c r="B8" s="1">
        <f>(K11*K12-K19*K20)*K10</f>
        <v>0.8460000000000001</v>
      </c>
      <c r="C8" t="s">
        <v>2</v>
      </c>
      <c r="I8" s="3" t="s">
        <v>38</v>
      </c>
      <c r="J8" s="25" t="s">
        <v>45</v>
      </c>
      <c r="K8" s="24">
        <v>2.9</v>
      </c>
      <c r="L8" s="24" t="s">
        <v>0</v>
      </c>
      <c r="M8" s="9"/>
      <c r="O8" s="3" t="s">
        <v>62</v>
      </c>
      <c r="P8" s="25">
        <v>0.2</v>
      </c>
      <c r="Q8" s="24" t="s">
        <v>0</v>
      </c>
    </row>
    <row r="9" spans="1:17" ht="15">
      <c r="A9" t="s">
        <v>67</v>
      </c>
      <c r="B9" s="1">
        <f>((K19+2*K22)*(K20+2*K22)-(K19*K20))*K21</f>
        <v>0.0755999999999996</v>
      </c>
      <c r="C9" t="s">
        <v>2</v>
      </c>
      <c r="J9" s="25" t="s">
        <v>46</v>
      </c>
      <c r="K9" s="24">
        <f>2.1+2*0.8</f>
        <v>3.7</v>
      </c>
      <c r="L9" s="24" t="s">
        <v>0</v>
      </c>
      <c r="M9" s="9"/>
      <c r="O9" s="22" t="s">
        <v>63</v>
      </c>
      <c r="P9" s="28">
        <f>K17/2</f>
        <v>0.2</v>
      </c>
      <c r="Q9" s="29" t="s">
        <v>0</v>
      </c>
    </row>
    <row r="10" spans="1:15" ht="15">
      <c r="A10" t="s">
        <v>44</v>
      </c>
      <c r="B10" s="1">
        <f>N11*N12*(P8+P9)-(3.14*(P9^2/4)/2)*N11</f>
        <v>0.5764500000000001</v>
      </c>
      <c r="C10" t="s">
        <v>2</v>
      </c>
      <c r="H10" t="s">
        <v>39</v>
      </c>
      <c r="I10" s="3" t="s">
        <v>96</v>
      </c>
      <c r="J10" s="25" t="s">
        <v>47</v>
      </c>
      <c r="K10" s="24">
        <v>0.3</v>
      </c>
      <c r="L10" s="24" t="s">
        <v>0</v>
      </c>
      <c r="M10" s="9"/>
      <c r="N10" s="9"/>
      <c r="O10" s="9"/>
    </row>
    <row r="11" spans="10:15" ht="15">
      <c r="J11" s="25" t="s">
        <v>46</v>
      </c>
      <c r="K11" s="26">
        <v>2.1</v>
      </c>
      <c r="L11" s="24" t="s">
        <v>0</v>
      </c>
      <c r="M11" s="9" t="s">
        <v>64</v>
      </c>
      <c r="N11" s="6">
        <f>K11-2*K14</f>
        <v>1.5</v>
      </c>
      <c r="O11" s="10" t="s">
        <v>0</v>
      </c>
    </row>
    <row r="12" spans="1:15" ht="15">
      <c r="A12" t="s">
        <v>156</v>
      </c>
      <c r="B12">
        <f>5.7*(2.11)</f>
        <v>12.027</v>
      </c>
      <c r="C12" s="1" t="s">
        <v>5</v>
      </c>
      <c r="J12" s="25" t="s">
        <v>45</v>
      </c>
      <c r="K12" s="26">
        <v>1.6</v>
      </c>
      <c r="L12" s="24" t="s">
        <v>0</v>
      </c>
      <c r="M12" s="9"/>
      <c r="N12" s="6">
        <f>K12-2*K14</f>
        <v>1</v>
      </c>
      <c r="O12" s="10" t="s">
        <v>0</v>
      </c>
    </row>
    <row r="13" spans="2:15" ht="15">
      <c r="B13" s="63" t="s">
        <v>127</v>
      </c>
      <c r="C13" s="46"/>
      <c r="E13" s="20"/>
      <c r="F13" s="1"/>
      <c r="I13" s="3" t="s">
        <v>43</v>
      </c>
      <c r="J13" s="25" t="s">
        <v>48</v>
      </c>
      <c r="K13" s="24">
        <v>1.25</v>
      </c>
      <c r="L13" s="24" t="s">
        <v>0</v>
      </c>
      <c r="M13" s="9"/>
      <c r="N13" s="9"/>
      <c r="O13" s="9"/>
    </row>
    <row r="14" spans="2:14" ht="15">
      <c r="B14">
        <f>B12*2</f>
        <v>24.054</v>
      </c>
      <c r="C14" s="1" t="s">
        <v>5</v>
      </c>
      <c r="E14" s="20"/>
      <c r="I14" s="3" t="s">
        <v>52</v>
      </c>
      <c r="J14" s="25" t="s">
        <v>47</v>
      </c>
      <c r="K14" s="24">
        <v>0.3</v>
      </c>
      <c r="L14" s="24" t="s">
        <v>0</v>
      </c>
      <c r="M14" s="9"/>
      <c r="N14" s="9"/>
    </row>
    <row r="15" spans="9:15" ht="15">
      <c r="I15" s="3" t="s">
        <v>42</v>
      </c>
      <c r="J15" s="25" t="s">
        <v>47</v>
      </c>
      <c r="K15" s="24">
        <v>0.3</v>
      </c>
      <c r="L15" s="24" t="s">
        <v>0</v>
      </c>
      <c r="O15" s="9"/>
    </row>
    <row r="16" spans="1:3" ht="15">
      <c r="A16" t="s">
        <v>65</v>
      </c>
      <c r="B16" s="1">
        <f>B5+(K11*K12)*(K5-K4-K10-0.1)</f>
        <v>5.440999999999999</v>
      </c>
      <c r="C16" t="s">
        <v>2</v>
      </c>
    </row>
    <row r="17" spans="1:15" ht="15">
      <c r="A17" t="s">
        <v>66</v>
      </c>
      <c r="B17" s="1">
        <f>B3-B16</f>
        <v>18.5375</v>
      </c>
      <c r="C17" t="s">
        <v>2</v>
      </c>
      <c r="H17" s="25" t="s">
        <v>53</v>
      </c>
      <c r="I17" s="25">
        <v>400</v>
      </c>
      <c r="J17" s="3" t="s">
        <v>54</v>
      </c>
      <c r="K17" s="3">
        <f>I17*0.001</f>
        <v>0.4</v>
      </c>
      <c r="L17" t="s">
        <v>0</v>
      </c>
      <c r="M17" s="5" t="s">
        <v>55</v>
      </c>
      <c r="N17" s="9"/>
      <c r="O17" s="7"/>
    </row>
    <row r="18" spans="4:15" ht="15">
      <c r="D18" s="7"/>
      <c r="E18" s="13"/>
      <c r="M18" s="7"/>
      <c r="N18" s="19"/>
      <c r="O18" s="7"/>
    </row>
    <row r="19" spans="1:14" ht="15">
      <c r="A19" s="11" t="s">
        <v>49</v>
      </c>
      <c r="B19" s="12">
        <v>40</v>
      </c>
      <c r="C19" s="1" t="s">
        <v>5</v>
      </c>
      <c r="D19" s="7"/>
      <c r="I19" s="3" t="s">
        <v>56</v>
      </c>
      <c r="J19" s="25" t="s">
        <v>57</v>
      </c>
      <c r="K19" s="26">
        <v>0.6</v>
      </c>
      <c r="L19" s="24" t="s">
        <v>0</v>
      </c>
      <c r="M19" s="7"/>
      <c r="N19" s="7"/>
    </row>
    <row r="20" spans="1:12" ht="15">
      <c r="A20" s="21" t="s">
        <v>146</v>
      </c>
      <c r="B20">
        <v>40</v>
      </c>
      <c r="C20" s="1" t="s">
        <v>5</v>
      </c>
      <c r="J20" s="25" t="s">
        <v>46</v>
      </c>
      <c r="K20" s="26">
        <v>0.9</v>
      </c>
      <c r="L20" s="24" t="s">
        <v>0</v>
      </c>
    </row>
    <row r="21" spans="1:12" ht="15">
      <c r="A21" s="21" t="s">
        <v>147</v>
      </c>
      <c r="B21">
        <v>32</v>
      </c>
      <c r="C21" s="1" t="s">
        <v>5</v>
      </c>
      <c r="I21" s="3" t="s">
        <v>58</v>
      </c>
      <c r="J21" s="28" t="s">
        <v>59</v>
      </c>
      <c r="K21" s="29">
        <f>K5-0.1-K10-K15-K13-K23</f>
        <v>0.05999999999999969</v>
      </c>
      <c r="L21" s="29" t="s">
        <v>0</v>
      </c>
    </row>
    <row r="22" spans="1:12" ht="15">
      <c r="A22" s="21" t="s">
        <v>150</v>
      </c>
      <c r="B22">
        <v>27</v>
      </c>
      <c r="C22" s="1" t="s">
        <v>5</v>
      </c>
      <c r="J22" s="25" t="s">
        <v>57</v>
      </c>
      <c r="K22" s="27">
        <v>0.3</v>
      </c>
      <c r="L22" s="24" t="s">
        <v>0</v>
      </c>
    </row>
    <row r="23" spans="1:12" ht="15">
      <c r="A23" s="21" t="s">
        <v>148</v>
      </c>
      <c r="B23">
        <v>18</v>
      </c>
      <c r="C23" s="1" t="s">
        <v>5</v>
      </c>
      <c r="I23" s="3" t="s">
        <v>60</v>
      </c>
      <c r="J23" s="25" t="s">
        <v>59</v>
      </c>
      <c r="K23" s="26">
        <v>0.1</v>
      </c>
      <c r="L23" s="24" t="s">
        <v>0</v>
      </c>
    </row>
    <row r="24" ht="15">
      <c r="L24" s="18"/>
    </row>
    <row r="25" spans="1:10" ht="15">
      <c r="A25" t="s">
        <v>155</v>
      </c>
      <c r="B25" s="1">
        <f>2*(K11*K10+K12*K10)</f>
        <v>2.2199999999999998</v>
      </c>
      <c r="C25" s="1" t="s">
        <v>5</v>
      </c>
      <c r="J25" s="3"/>
    </row>
    <row r="26" spans="1:15" ht="15">
      <c r="A26" t="s">
        <v>152</v>
      </c>
      <c r="B26" s="1">
        <f>2*K13*K11+2*K12*K13+2*N11*K13+2*N12*K13</f>
        <v>15.5</v>
      </c>
      <c r="C26" s="1" t="s">
        <v>5</v>
      </c>
      <c r="M26" s="6"/>
      <c r="N26" s="7"/>
      <c r="O26" s="7"/>
    </row>
    <row r="27" spans="1:15" ht="15">
      <c r="A27" t="s">
        <v>153</v>
      </c>
      <c r="B27" s="1">
        <f>K11*K12-K19*K20+2*(K11+K12)*K15+2*(K19*K20)*K15</f>
        <v>5.364000000000001</v>
      </c>
      <c r="C27" s="1" t="s">
        <v>5</v>
      </c>
      <c r="M27" s="6"/>
      <c r="N27" s="7"/>
      <c r="O27" s="7"/>
    </row>
    <row r="28" spans="1:3" ht="15">
      <c r="A28" t="s">
        <v>154</v>
      </c>
      <c r="B28" s="1">
        <f>((K19+2*K22)+K19+(K20+2*K22)+K20)*2*K21</f>
        <v>0.5039999999999975</v>
      </c>
      <c r="C28" s="1" t="s">
        <v>5</v>
      </c>
    </row>
    <row r="30" spans="1:3" ht="15">
      <c r="A30" t="s">
        <v>68</v>
      </c>
      <c r="B30">
        <f>(K11+0.5*2)*(K12+2*0.5)</f>
        <v>8.06</v>
      </c>
      <c r="C30" s="1" t="s">
        <v>5</v>
      </c>
    </row>
    <row r="31" spans="1:3" ht="15">
      <c r="A31" t="s">
        <v>171</v>
      </c>
      <c r="B31">
        <v>3</v>
      </c>
      <c r="C31" s="1" t="s">
        <v>70</v>
      </c>
    </row>
    <row r="32" spans="1:3" ht="15">
      <c r="A32" t="s">
        <v>69</v>
      </c>
      <c r="B32">
        <v>1</v>
      </c>
      <c r="C32" s="1" t="s">
        <v>70</v>
      </c>
    </row>
    <row r="33" spans="1:3" ht="15">
      <c r="A33" t="s">
        <v>229</v>
      </c>
      <c r="B33">
        <v>1</v>
      </c>
      <c r="C33" s="1" t="s">
        <v>70</v>
      </c>
    </row>
    <row r="35" spans="1:3" ht="15">
      <c r="A35" t="s">
        <v>71</v>
      </c>
      <c r="B35">
        <f>N11</f>
        <v>1.5</v>
      </c>
      <c r="C35" s="1" t="s">
        <v>0</v>
      </c>
    </row>
    <row r="37" spans="1:2" ht="15">
      <c r="A37" t="s">
        <v>72</v>
      </c>
      <c r="B37" s="5" t="s">
        <v>274</v>
      </c>
    </row>
    <row r="39" spans="1:12" ht="15">
      <c r="A39" s="33" t="s">
        <v>76</v>
      </c>
      <c r="I39" s="3" t="s">
        <v>73</v>
      </c>
      <c r="J39" s="25" t="s">
        <v>57</v>
      </c>
      <c r="K39" s="26">
        <v>2</v>
      </c>
      <c r="L39" s="24" t="s">
        <v>0</v>
      </c>
    </row>
    <row r="40" spans="1:12" ht="15">
      <c r="A40" s="5" t="s">
        <v>73</v>
      </c>
      <c r="B40" s="1">
        <f>K39*K40-3.14*K41^2/4</f>
        <v>3.693359375</v>
      </c>
      <c r="C40" s="1" t="s">
        <v>5</v>
      </c>
      <c r="J40" s="25" t="s">
        <v>46</v>
      </c>
      <c r="K40" s="26">
        <v>2</v>
      </c>
      <c r="L40" s="24" t="s">
        <v>0</v>
      </c>
    </row>
    <row r="41" spans="1:13" ht="15">
      <c r="A41" t="s">
        <v>68</v>
      </c>
      <c r="B41" s="1">
        <f>(2*0.5+K41)^2*1.1</f>
        <v>2.9046875</v>
      </c>
      <c r="C41" s="1" t="s">
        <v>5</v>
      </c>
      <c r="I41" s="3" t="s">
        <v>74</v>
      </c>
      <c r="J41" s="25" t="s">
        <v>75</v>
      </c>
      <c r="K41" s="26">
        <v>0.625</v>
      </c>
      <c r="L41" s="24" t="s">
        <v>0</v>
      </c>
      <c r="M41" t="s">
        <v>172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50"/>
  <sheetViews>
    <sheetView view="pageBreakPreview" zoomScaleSheetLayoutView="100" workbookViewId="0" topLeftCell="A13">
      <selection activeCell="I45" sqref="I45"/>
    </sheetView>
  </sheetViews>
  <sheetFormatPr defaultColWidth="9.140625" defaultRowHeight="15"/>
  <cols>
    <col min="1" max="1" width="45.8515625" style="0" customWidth="1"/>
    <col min="3" max="5" width="8.8515625" style="1" customWidth="1"/>
    <col min="10" max="10" width="11.7109375" style="0" customWidth="1"/>
  </cols>
  <sheetData>
    <row r="1" spans="1:13" ht="15">
      <c r="A1" s="33" t="s">
        <v>273</v>
      </c>
      <c r="M1" s="68" t="s">
        <v>188</v>
      </c>
    </row>
    <row r="2" spans="1:17" ht="15">
      <c r="A2" t="s">
        <v>33</v>
      </c>
      <c r="B2" s="1"/>
      <c r="C2"/>
      <c r="J2" s="3" t="s">
        <v>35</v>
      </c>
      <c r="K2" s="24">
        <v>0</v>
      </c>
      <c r="L2" s="24"/>
      <c r="M2" s="68" t="s">
        <v>189</v>
      </c>
      <c r="N2" s="69"/>
      <c r="O2" s="70">
        <v>1</v>
      </c>
      <c r="P2" s="71" t="s">
        <v>0</v>
      </c>
      <c r="Q2" s="68" t="s">
        <v>193</v>
      </c>
    </row>
    <row r="3" spans="1:17" ht="15">
      <c r="A3" s="19" t="s">
        <v>182</v>
      </c>
      <c r="B3" s="1">
        <f>(K6+2*K3)*(K7+2*K3)*(K5-K4)</f>
        <v>81.52950000000007</v>
      </c>
      <c r="C3" t="s">
        <v>2</v>
      </c>
      <c r="D3" s="34"/>
      <c r="E3" s="34"/>
      <c r="J3" t="s">
        <v>36</v>
      </c>
      <c r="K3" s="24">
        <v>0.15</v>
      </c>
      <c r="L3" s="24" t="s">
        <v>0</v>
      </c>
      <c r="M3" s="68" t="s">
        <v>192</v>
      </c>
      <c r="N3" s="69"/>
      <c r="O3" s="70">
        <v>1</v>
      </c>
      <c r="P3" s="71" t="s">
        <v>0</v>
      </c>
      <c r="Q3" s="68" t="s">
        <v>197</v>
      </c>
    </row>
    <row r="4" spans="1:16" ht="15">
      <c r="A4" s="19" t="s">
        <v>183</v>
      </c>
      <c r="B4" s="44">
        <f>(3.14*(O2+2*0.2)^2)/4*(O3+0.2)+(3.14*(1+2*0.12)^2)/4*(O4-B39)+(3.14*((1+2*0.12)^2+(0.625+2*0.12)^2)/2)/4*B39-E4</f>
        <v>2.6147094000000015</v>
      </c>
      <c r="C4" s="7" t="s">
        <v>185</v>
      </c>
      <c r="D4" s="67" t="s">
        <v>186</v>
      </c>
      <c r="E4" s="44">
        <f>(3.14*O2^2)/4*(O3+0.2)+(3.14*1^2)/4*(O4-B39)+(3.14*(1^2+0.625^2)/2)/4*B39</f>
        <v>4.0610257812500015</v>
      </c>
      <c r="F4" s="7" t="s">
        <v>187</v>
      </c>
      <c r="J4" s="84" t="s">
        <v>199</v>
      </c>
      <c r="K4" s="85">
        <f>0.04+0.06+0.15</f>
        <v>0.25</v>
      </c>
      <c r="L4" s="24" t="s">
        <v>0</v>
      </c>
      <c r="M4" s="68" t="s">
        <v>190</v>
      </c>
      <c r="N4" s="69"/>
      <c r="O4" s="70">
        <f>220.71-215.4-1-K25</f>
        <v>4.150000000000002</v>
      </c>
      <c r="P4" s="71" t="s">
        <v>0</v>
      </c>
    </row>
    <row r="5" spans="1:17" ht="15">
      <c r="A5" s="19" t="s">
        <v>194</v>
      </c>
      <c r="B5" s="44">
        <f>(3.14*(K17^2)/4)*(0.6+K3)+(3.14*(K18^2)/4)*(0.6+K3)+(3.14*(K19^2)/4)*(0.6+K3)-E5</f>
        <v>0.4085336249999999</v>
      </c>
      <c r="C5" s="7" t="s">
        <v>185</v>
      </c>
      <c r="D5" s="67" t="s">
        <v>186</v>
      </c>
      <c r="E5" s="44">
        <f>3.14*(0.5^2)/4*(0.6+K3)+3.14*(0.6^2)/4*(0.6+K3)+3.14*(I19*0.001)^2/4*(0.6+K3)</f>
        <v>0.506325</v>
      </c>
      <c r="F5" s="7" t="s">
        <v>187</v>
      </c>
      <c r="J5" s="3" t="s">
        <v>4</v>
      </c>
      <c r="K5" s="39">
        <f>220.71-214.81</f>
        <v>5.900000000000006</v>
      </c>
      <c r="L5" s="24" t="s">
        <v>0</v>
      </c>
      <c r="M5" s="7" t="s">
        <v>85</v>
      </c>
      <c r="O5" s="40">
        <f>K5-K4</f>
        <v>5.650000000000006</v>
      </c>
      <c r="P5" s="10" t="s">
        <v>0</v>
      </c>
      <c r="Q5" s="7"/>
    </row>
    <row r="6" spans="1:17" ht="15">
      <c r="A6" s="21" t="s">
        <v>184</v>
      </c>
      <c r="B6" s="1">
        <f>B3-B4-E4-B5-E5</f>
        <v>73.93890619375007</v>
      </c>
      <c r="C6" t="s">
        <v>2</v>
      </c>
      <c r="I6" s="3" t="s">
        <v>84</v>
      </c>
      <c r="J6" s="25" t="s">
        <v>45</v>
      </c>
      <c r="K6" s="24">
        <f>K12+0.8+0.6</f>
        <v>3.4</v>
      </c>
      <c r="L6" s="24" t="s">
        <v>0</v>
      </c>
      <c r="O6" s="6"/>
      <c r="P6" s="7"/>
      <c r="Q6" s="7"/>
    </row>
    <row r="7" spans="10:15" ht="13.8" customHeight="1">
      <c r="J7" s="25" t="s">
        <v>46</v>
      </c>
      <c r="K7" s="24">
        <f>K11+2*0.8</f>
        <v>3.6</v>
      </c>
      <c r="L7" s="24" t="s">
        <v>0</v>
      </c>
      <c r="M7" s="9"/>
      <c r="N7" s="9"/>
      <c r="O7" s="3" t="s">
        <v>61</v>
      </c>
    </row>
    <row r="8" spans="1:17" ht="15">
      <c r="A8" t="s">
        <v>40</v>
      </c>
      <c r="B8" s="1">
        <f>0.1*K8*K9</f>
        <v>0.4840000000000001</v>
      </c>
      <c r="C8" t="s">
        <v>2</v>
      </c>
      <c r="D8" s="36"/>
      <c r="E8" s="37"/>
      <c r="I8" s="3" t="s">
        <v>38</v>
      </c>
      <c r="J8" s="25" t="s">
        <v>45</v>
      </c>
      <c r="K8" s="24">
        <f>K12+2*0.1</f>
        <v>2.2</v>
      </c>
      <c r="L8" s="24" t="s">
        <v>0</v>
      </c>
      <c r="M8" s="9"/>
      <c r="O8" s="3" t="s">
        <v>62</v>
      </c>
      <c r="P8" s="25">
        <v>0.2</v>
      </c>
      <c r="Q8" s="24" t="s">
        <v>0</v>
      </c>
    </row>
    <row r="9" spans="1:17" ht="15">
      <c r="A9" t="s">
        <v>41</v>
      </c>
      <c r="B9" s="1">
        <f>K11*K12*K10</f>
        <v>1.2</v>
      </c>
      <c r="C9" t="s">
        <v>2</v>
      </c>
      <c r="D9" s="36"/>
      <c r="E9" s="37"/>
      <c r="J9" s="25" t="s">
        <v>46</v>
      </c>
      <c r="K9" s="24">
        <f>K11+2*0.1</f>
        <v>2.2</v>
      </c>
      <c r="L9" s="24" t="s">
        <v>0</v>
      </c>
      <c r="M9" s="9"/>
      <c r="O9" s="22" t="s">
        <v>63</v>
      </c>
      <c r="P9" s="28">
        <f>K17/2</f>
        <v>0.335</v>
      </c>
      <c r="Q9" s="29" t="s">
        <v>0</v>
      </c>
    </row>
    <row r="10" spans="1:20" ht="15">
      <c r="A10" t="s">
        <v>50</v>
      </c>
      <c r="B10" s="1">
        <f>2*K11*K13*K14+2*(K12-2*K14)*K13*K14-2*3.14*K17^2/4*K14</f>
        <v>5.5005681</v>
      </c>
      <c r="C10" t="s">
        <v>2</v>
      </c>
      <c r="D10" s="36"/>
      <c r="E10" s="37"/>
      <c r="H10" t="s">
        <v>39</v>
      </c>
      <c r="I10" s="3" t="s">
        <v>96</v>
      </c>
      <c r="J10" s="25" t="s">
        <v>47</v>
      </c>
      <c r="K10" s="24">
        <v>0.3</v>
      </c>
      <c r="L10" s="24" t="s">
        <v>0</v>
      </c>
      <c r="M10" s="9"/>
      <c r="N10" s="9"/>
      <c r="O10" s="9"/>
      <c r="T10" s="38"/>
    </row>
    <row r="11" spans="1:15" ht="15">
      <c r="A11" t="s">
        <v>51</v>
      </c>
      <c r="B11" s="1">
        <f>(K11*K12-3.14*K21^2/4)*K15</f>
        <v>0.9644999999999999</v>
      </c>
      <c r="C11" t="s">
        <v>2</v>
      </c>
      <c r="D11" s="36"/>
      <c r="E11" s="37"/>
      <c r="J11" s="25" t="s">
        <v>46</v>
      </c>
      <c r="K11" s="26">
        <v>2</v>
      </c>
      <c r="L11" s="24" t="s">
        <v>0</v>
      </c>
      <c r="M11" s="9" t="s">
        <v>64</v>
      </c>
      <c r="N11" s="6">
        <f>K11-2*K14</f>
        <v>1.4</v>
      </c>
      <c r="O11" s="10" t="s">
        <v>0</v>
      </c>
    </row>
    <row r="12" spans="1:15" ht="15">
      <c r="A12" t="s">
        <v>44</v>
      </c>
      <c r="B12" s="1">
        <f>N11*N12*(P8+P9)-(3.14*(P9^2/4)/2)*N11</f>
        <v>0.9869323624999999</v>
      </c>
      <c r="C12" t="s">
        <v>2</v>
      </c>
      <c r="D12" s="36"/>
      <c r="E12" s="37"/>
      <c r="J12" s="25" t="s">
        <v>45</v>
      </c>
      <c r="K12" s="26">
        <v>2</v>
      </c>
      <c r="L12" s="24" t="s">
        <v>0</v>
      </c>
      <c r="M12" s="9"/>
      <c r="N12" s="6">
        <f>K12-2*K14</f>
        <v>1.4</v>
      </c>
      <c r="O12" s="10" t="s">
        <v>0</v>
      </c>
    </row>
    <row r="13" spans="1:15" ht="15">
      <c r="A13" s="77" t="s">
        <v>443</v>
      </c>
      <c r="B13">
        <f>2*1.5+3.14*0.5/2*2</f>
        <v>4.57</v>
      </c>
      <c r="C13" s="1" t="s">
        <v>5</v>
      </c>
      <c r="I13" s="3" t="s">
        <v>43</v>
      </c>
      <c r="J13" s="25" t="s">
        <v>48</v>
      </c>
      <c r="K13" s="24">
        <v>2.8</v>
      </c>
      <c r="L13" s="24" t="s">
        <v>0</v>
      </c>
      <c r="M13" s="9"/>
      <c r="N13" s="9"/>
      <c r="O13" s="9"/>
    </row>
    <row r="14" spans="9:14" ht="15">
      <c r="I14" s="3" t="s">
        <v>52</v>
      </c>
      <c r="J14" s="25" t="s">
        <v>47</v>
      </c>
      <c r="K14" s="24">
        <v>0.3</v>
      </c>
      <c r="L14" s="24" t="s">
        <v>0</v>
      </c>
      <c r="M14" s="9"/>
      <c r="N14" s="9"/>
    </row>
    <row r="15" spans="1:15" ht="15">
      <c r="A15" t="s">
        <v>162</v>
      </c>
      <c r="B15" s="1">
        <f>(K6+K7)*2*E15</f>
        <v>61.46000000000008</v>
      </c>
      <c r="C15" s="1" t="s">
        <v>5</v>
      </c>
      <c r="D15" s="36" t="s">
        <v>177</v>
      </c>
      <c r="E15" s="37">
        <f>K5-(0.1+0.3+0.2+K18+0.1)</f>
        <v>4.390000000000006</v>
      </c>
      <c r="F15" s="37" t="s">
        <v>0</v>
      </c>
      <c r="I15" s="3" t="s">
        <v>42</v>
      </c>
      <c r="J15" s="25" t="s">
        <v>47</v>
      </c>
      <c r="K15" s="24">
        <v>0.3</v>
      </c>
      <c r="L15" s="24" t="s">
        <v>0</v>
      </c>
      <c r="O15" s="9"/>
    </row>
    <row r="16" spans="1:6" ht="15">
      <c r="A16" s="21"/>
      <c r="B16" s="1"/>
      <c r="D16" s="65" t="s">
        <v>261</v>
      </c>
      <c r="E16" s="37"/>
      <c r="F16" s="37"/>
    </row>
    <row r="17" spans="1:15" ht="15">
      <c r="A17" s="65" t="s">
        <v>195</v>
      </c>
      <c r="B17" s="72">
        <f>B8+(K11*K12)*(K10+K13+K15)+K42-3.14*0.625^2/4*K4</f>
        <v>16.430052373749998</v>
      </c>
      <c r="C17" s="65" t="s">
        <v>2</v>
      </c>
      <c r="H17" s="25" t="s">
        <v>53</v>
      </c>
      <c r="I17" s="52" t="s">
        <v>258</v>
      </c>
      <c r="J17" s="3" t="s">
        <v>260</v>
      </c>
      <c r="K17" s="3">
        <f>0.5+2*N18</f>
        <v>0.67</v>
      </c>
      <c r="L17" t="s">
        <v>0</v>
      </c>
      <c r="M17" s="10" t="s">
        <v>165</v>
      </c>
      <c r="N17" s="9"/>
      <c r="O17" s="7"/>
    </row>
    <row r="18" spans="1:15" ht="15">
      <c r="A18" t="s">
        <v>66</v>
      </c>
      <c r="B18" s="1">
        <f>B3-B17</f>
        <v>65.09944762625007</v>
      </c>
      <c r="C18" t="s">
        <v>2</v>
      </c>
      <c r="I18" s="52" t="s">
        <v>259</v>
      </c>
      <c r="J18" s="3" t="s">
        <v>260</v>
      </c>
      <c r="K18" s="3">
        <f>0.6+2*N19</f>
        <v>0.8099999999999999</v>
      </c>
      <c r="L18" t="s">
        <v>0</v>
      </c>
      <c r="M18" s="19" t="s">
        <v>134</v>
      </c>
      <c r="N18" s="19">
        <v>0.085</v>
      </c>
      <c r="O18" s="53" t="s">
        <v>0</v>
      </c>
    </row>
    <row r="19" spans="9:15" ht="15">
      <c r="I19" s="52">
        <v>500</v>
      </c>
      <c r="J19" s="3" t="s">
        <v>54</v>
      </c>
      <c r="K19" s="3">
        <f>I19*0.001+2*N18</f>
        <v>0.67</v>
      </c>
      <c r="L19" t="s">
        <v>0</v>
      </c>
      <c r="M19" s="19" t="s">
        <v>135</v>
      </c>
      <c r="N19" s="19">
        <v>0.105</v>
      </c>
      <c r="O19" s="53" t="s">
        <v>0</v>
      </c>
    </row>
    <row r="20" spans="1:5" ht="15">
      <c r="A20" s="11" t="s">
        <v>226</v>
      </c>
      <c r="B20" s="1">
        <f>(0.53+0.84)/2*(K7+2*K3)</f>
        <v>2.6715</v>
      </c>
      <c r="C20" s="1" t="s">
        <v>5</v>
      </c>
      <c r="D20" s="7"/>
      <c r="E20" s="13"/>
    </row>
    <row r="21" spans="1:20" ht="15">
      <c r="A21" s="83" t="s">
        <v>146</v>
      </c>
      <c r="B21" s="82">
        <f>B20</f>
        <v>2.6715</v>
      </c>
      <c r="C21" s="82" t="s">
        <v>5</v>
      </c>
      <c r="D21" s="7"/>
      <c r="I21" s="3" t="s">
        <v>56</v>
      </c>
      <c r="J21" s="25" t="s">
        <v>86</v>
      </c>
      <c r="K21" s="26">
        <v>1</v>
      </c>
      <c r="L21" s="24" t="s">
        <v>0</v>
      </c>
      <c r="M21" s="10" t="s">
        <v>180</v>
      </c>
      <c r="T21" s="45" t="s">
        <v>91</v>
      </c>
    </row>
    <row r="22" spans="1:12" ht="15">
      <c r="A22" s="83" t="s">
        <v>224</v>
      </c>
      <c r="B22" s="82">
        <f>B20</f>
        <v>2.6715</v>
      </c>
      <c r="C22" s="82" t="s">
        <v>5</v>
      </c>
      <c r="J22" s="41"/>
      <c r="K22" s="42"/>
      <c r="L22" s="23"/>
    </row>
    <row r="23" spans="1:12" ht="15">
      <c r="A23" s="83" t="s">
        <v>225</v>
      </c>
      <c r="B23" s="82">
        <f>B20</f>
        <v>2.6715</v>
      </c>
      <c r="C23" s="82" t="s">
        <v>5</v>
      </c>
      <c r="I23" s="3" t="s">
        <v>58</v>
      </c>
      <c r="J23" s="28" t="s">
        <v>59</v>
      </c>
      <c r="K23" s="30">
        <f>K5-0.1-K10-K15-K13</f>
        <v>2.4000000000000066</v>
      </c>
      <c r="L23" s="29" t="s">
        <v>0</v>
      </c>
    </row>
    <row r="24" spans="1:3" ht="15">
      <c r="A24" s="11" t="s">
        <v>196</v>
      </c>
      <c r="B24" s="1">
        <f>(K6+2*K3)*(K7+2*K3)-B20-3.14*0.625^2/4</f>
        <v>11.451859374999998</v>
      </c>
      <c r="C24" s="1" t="s">
        <v>5</v>
      </c>
    </row>
    <row r="25" spans="9:12" ht="15">
      <c r="I25" s="3" t="s">
        <v>60</v>
      </c>
      <c r="J25" s="25" t="s">
        <v>59</v>
      </c>
      <c r="K25" s="26">
        <v>0.16</v>
      </c>
      <c r="L25" s="24" t="s">
        <v>0</v>
      </c>
    </row>
    <row r="26" spans="1:3" ht="15">
      <c r="A26" t="s">
        <v>155</v>
      </c>
      <c r="B26" s="1">
        <f>2*(K11*K10+K12*K10)</f>
        <v>2.4</v>
      </c>
      <c r="C26" s="1" t="s">
        <v>5</v>
      </c>
    </row>
    <row r="27" spans="1:3" ht="15">
      <c r="A27" t="s">
        <v>152</v>
      </c>
      <c r="B27" s="1">
        <f>2*K13*K11+2*K12*K13+2*N11*K13+2*N12*K13</f>
        <v>38.08</v>
      </c>
      <c r="C27" s="1" t="s">
        <v>5</v>
      </c>
    </row>
    <row r="28" spans="1:3" ht="15">
      <c r="A28" t="s">
        <v>153</v>
      </c>
      <c r="B28" s="1">
        <f>K11*K12-3.14*K21^2/4+2*(K11+K12)*K15+3.14*K21*K15</f>
        <v>6.557</v>
      </c>
      <c r="C28" s="1" t="s">
        <v>5</v>
      </c>
    </row>
    <row r="29" ht="15">
      <c r="B29" s="1"/>
    </row>
    <row r="30" spans="1:3" ht="15">
      <c r="A30" t="s">
        <v>173</v>
      </c>
      <c r="B30">
        <v>10</v>
      </c>
      <c r="C30" s="1" t="s">
        <v>70</v>
      </c>
    </row>
    <row r="31" spans="1:3" ht="15">
      <c r="A31" t="s">
        <v>230</v>
      </c>
      <c r="B31">
        <v>1</v>
      </c>
      <c r="C31" s="1" t="s">
        <v>70</v>
      </c>
    </row>
    <row r="32" spans="1:4" ht="15">
      <c r="A32" t="s">
        <v>236</v>
      </c>
      <c r="B32" s="1">
        <v>4</v>
      </c>
      <c r="C32" s="1" t="s">
        <v>0</v>
      </c>
      <c r="D32" s="1" t="s">
        <v>232</v>
      </c>
    </row>
    <row r="33" spans="1:4" ht="15">
      <c r="A33" t="s">
        <v>233</v>
      </c>
      <c r="B33" s="56">
        <f>K23-0.15</f>
        <v>2.2500000000000067</v>
      </c>
      <c r="C33" s="1" t="s">
        <v>0</v>
      </c>
      <c r="D33" s="65" t="s">
        <v>255</v>
      </c>
    </row>
    <row r="34" spans="1:5" ht="15">
      <c r="A34" t="s">
        <v>262</v>
      </c>
      <c r="B34">
        <v>1</v>
      </c>
      <c r="C34" s="1" t="s">
        <v>70</v>
      </c>
      <c r="E34" s="65" t="s">
        <v>256</v>
      </c>
    </row>
    <row r="35" spans="1:3" ht="15">
      <c r="A35" t="s">
        <v>97</v>
      </c>
      <c r="B35">
        <v>1</v>
      </c>
      <c r="C35" s="1" t="s">
        <v>70</v>
      </c>
    </row>
    <row r="36" ht="15">
      <c r="A36" s="3" t="s">
        <v>143</v>
      </c>
    </row>
    <row r="37" spans="1:15" ht="15">
      <c r="A37" s="41" t="s">
        <v>87</v>
      </c>
      <c r="B37" s="24">
        <v>1</v>
      </c>
      <c r="C37" s="24" t="s">
        <v>0</v>
      </c>
      <c r="D37" s="24">
        <v>1</v>
      </c>
      <c r="E37" s="23" t="s">
        <v>88</v>
      </c>
      <c r="H37" s="19" t="s">
        <v>92</v>
      </c>
      <c r="I37" s="7" t="s">
        <v>93</v>
      </c>
      <c r="K37" s="1">
        <f>3.14*(1+N37*2)^2/4*B37</f>
        <v>1.207016</v>
      </c>
      <c r="L37" t="s">
        <v>2</v>
      </c>
      <c r="M37" s="24" t="s">
        <v>94</v>
      </c>
      <c r="N37" s="24">
        <v>0.12</v>
      </c>
      <c r="O37" s="24" t="s">
        <v>0</v>
      </c>
    </row>
    <row r="38" spans="1:15" ht="15">
      <c r="A38" s="41" t="s">
        <v>87</v>
      </c>
      <c r="B38" s="24">
        <v>0.5</v>
      </c>
      <c r="C38" s="24" t="s">
        <v>0</v>
      </c>
      <c r="D38" s="24">
        <v>1</v>
      </c>
      <c r="E38" s="23" t="s">
        <v>88</v>
      </c>
      <c r="H38" s="19"/>
      <c r="I38" s="7"/>
      <c r="K38" s="1">
        <f>3.14*(1+N38*2)^2/4*B38</f>
        <v>0.603508</v>
      </c>
      <c r="L38" t="s">
        <v>2</v>
      </c>
      <c r="M38" s="24" t="s">
        <v>94</v>
      </c>
      <c r="N38" s="24">
        <v>0.12</v>
      </c>
      <c r="O38" s="24" t="s">
        <v>0</v>
      </c>
    </row>
    <row r="39" spans="1:15" ht="15">
      <c r="A39" s="41" t="s">
        <v>89</v>
      </c>
      <c r="B39" s="24">
        <v>0.58</v>
      </c>
      <c r="C39" s="24" t="s">
        <v>0</v>
      </c>
      <c r="D39" s="24">
        <v>1</v>
      </c>
      <c r="E39" s="23" t="s">
        <v>88</v>
      </c>
      <c r="K39" s="1">
        <f>1/12*3.14*B39*((1+2*N39)^2+(1+2*N39)*(0.625+2*N39)+(0.625+2*N39)^2)</f>
        <v>0.5096969674999999</v>
      </c>
      <c r="L39" t="s">
        <v>2</v>
      </c>
      <c r="M39" s="24" t="s">
        <v>94</v>
      </c>
      <c r="N39" s="24">
        <v>0.12</v>
      </c>
      <c r="O39" s="24" t="s">
        <v>0</v>
      </c>
    </row>
    <row r="40" spans="1:15" ht="15">
      <c r="A40" s="57" t="s">
        <v>167</v>
      </c>
      <c r="B40" s="62">
        <v>0.1</v>
      </c>
      <c r="C40" s="62" t="s">
        <v>0</v>
      </c>
      <c r="D40" s="24">
        <v>1</v>
      </c>
      <c r="E40" s="23" t="s">
        <v>88</v>
      </c>
      <c r="K40" s="31">
        <f>3.14*(0.625+2*N40)^2/4*B40</f>
        <v>0.05342906249999999</v>
      </c>
      <c r="L40" s="32" t="s">
        <v>2</v>
      </c>
      <c r="M40" s="24" t="s">
        <v>94</v>
      </c>
      <c r="N40" s="24">
        <v>0.1</v>
      </c>
      <c r="O40" s="24" t="s">
        <v>0</v>
      </c>
    </row>
    <row r="41" spans="1:12" ht="15">
      <c r="A41" s="59" t="s">
        <v>90</v>
      </c>
      <c r="B41" s="60">
        <f>G41+B37*D37+B38*D38+B39*D39+B40*D40+K25</f>
        <v>2.41</v>
      </c>
      <c r="C41" s="61" t="s">
        <v>0</v>
      </c>
      <c r="F41" s="59" t="s">
        <v>254</v>
      </c>
      <c r="G41" s="60">
        <v>0.07</v>
      </c>
      <c r="H41" s="61" t="s">
        <v>0</v>
      </c>
      <c r="J41" s="6" t="s">
        <v>95</v>
      </c>
      <c r="K41" s="46">
        <f>3.14*0.625^2/4*K25</f>
        <v>0.0490625</v>
      </c>
      <c r="L41" s="4" t="s">
        <v>2</v>
      </c>
    </row>
    <row r="42" spans="1:19" ht="15">
      <c r="A42" t="s">
        <v>264</v>
      </c>
      <c r="B42">
        <v>3</v>
      </c>
      <c r="C42" s="1" t="s">
        <v>241</v>
      </c>
      <c r="J42" s="6" t="s">
        <v>90</v>
      </c>
      <c r="K42" s="44">
        <f>K37*D37+K38*D38+K39*D39+K40*D40+K41</f>
        <v>2.4227125299999996</v>
      </c>
      <c r="L42" s="43" t="s">
        <v>2</v>
      </c>
      <c r="Q42" s="58" t="s">
        <v>144</v>
      </c>
      <c r="R42" s="45">
        <f>K23-B41</f>
        <v>-0.00999999999999357</v>
      </c>
      <c r="S42" s="43" t="s">
        <v>0</v>
      </c>
    </row>
    <row r="43" spans="1:18" ht="15">
      <c r="A43" t="s">
        <v>446</v>
      </c>
      <c r="B43" s="115">
        <v>1</v>
      </c>
      <c r="C43" s="66" t="s">
        <v>444</v>
      </c>
      <c r="D43" s="66" t="s">
        <v>445</v>
      </c>
      <c r="E43" s="116">
        <v>112</v>
      </c>
      <c r="F43" s="66" t="s">
        <v>444</v>
      </c>
      <c r="R43" s="73" t="s">
        <v>198</v>
      </c>
    </row>
    <row r="44" spans="2:18" ht="15">
      <c r="B44" s="115">
        <v>5</v>
      </c>
      <c r="C44" s="66" t="s">
        <v>444</v>
      </c>
      <c r="R44" s="73"/>
    </row>
    <row r="45" spans="1:3" ht="15">
      <c r="A45" s="81" t="s">
        <v>245</v>
      </c>
      <c r="B45" s="81">
        <f>(K6-2*0.25)*2+(K7-2*0.25)*2</f>
        <v>12</v>
      </c>
      <c r="C45" s="82" t="s">
        <v>0</v>
      </c>
    </row>
    <row r="46" ht="15">
      <c r="A46" s="80" t="s">
        <v>263</v>
      </c>
    </row>
    <row r="47" ht="15">
      <c r="A47" s="80"/>
    </row>
    <row r="48" spans="1:2" ht="15">
      <c r="A48" t="s">
        <v>72</v>
      </c>
      <c r="B48" s="5" t="s">
        <v>274</v>
      </c>
    </row>
    <row r="50" ht="15">
      <c r="A50" s="74" t="s">
        <v>227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view="pageBreakPreview" zoomScale="80" zoomScaleSheetLayoutView="80" workbookViewId="0" topLeftCell="A1">
      <selection activeCell="T46" sqref="T46"/>
    </sheetView>
  </sheetViews>
  <sheetFormatPr defaultColWidth="9.140625" defaultRowHeight="15"/>
  <cols>
    <col min="1" max="1" width="45.28125" style="0" customWidth="1"/>
    <col min="2" max="2" width="8.8515625" style="0" customWidth="1"/>
    <col min="3" max="3" width="10.421875" style="0" customWidth="1"/>
    <col min="5" max="5" width="10.00390625" style="0" customWidth="1"/>
    <col min="7" max="7" width="11.00390625" style="0" customWidth="1"/>
    <col min="15" max="15" width="10.7109375" style="0" customWidth="1"/>
  </cols>
  <sheetData>
    <row r="1" ht="15">
      <c r="A1" s="33" t="s">
        <v>272</v>
      </c>
    </row>
    <row r="2" spans="1:4" ht="15">
      <c r="A2" s="110" t="s">
        <v>405</v>
      </c>
      <c r="B2" t="s">
        <v>406</v>
      </c>
      <c r="C2" s="108">
        <v>5</v>
      </c>
      <c r="D2" t="s">
        <v>70</v>
      </c>
    </row>
    <row r="3" spans="2:4" ht="15">
      <c r="B3" t="s">
        <v>407</v>
      </c>
      <c r="C3" s="108">
        <v>1</v>
      </c>
      <c r="D3" t="s">
        <v>70</v>
      </c>
    </row>
    <row r="5" spans="1:11" ht="15">
      <c r="A5" t="s">
        <v>410</v>
      </c>
      <c r="B5" t="s">
        <v>406</v>
      </c>
      <c r="C5">
        <f>(J5+0.2)*(M6+0.2)</f>
        <v>0.30000000000000004</v>
      </c>
      <c r="D5" t="s">
        <v>5</v>
      </c>
      <c r="G5" s="3" t="s">
        <v>408</v>
      </c>
      <c r="H5" s="8" t="s">
        <v>406</v>
      </c>
      <c r="I5" s="3" t="s">
        <v>59</v>
      </c>
      <c r="J5">
        <v>0.4</v>
      </c>
      <c r="K5" t="s">
        <v>0</v>
      </c>
    </row>
    <row r="6" spans="1:14" ht="15">
      <c r="A6" t="s">
        <v>409</v>
      </c>
      <c r="B6" t="s">
        <v>90</v>
      </c>
      <c r="C6">
        <f>C5*C2</f>
        <v>1.5000000000000002</v>
      </c>
      <c r="D6" t="s">
        <v>5</v>
      </c>
      <c r="H6" s="8"/>
      <c r="I6" s="3" t="s">
        <v>57</v>
      </c>
      <c r="J6">
        <v>0.28</v>
      </c>
      <c r="K6" t="s">
        <v>0</v>
      </c>
      <c r="L6" s="74" t="s">
        <v>92</v>
      </c>
      <c r="M6">
        <f>ROUNDUP(J6,1)</f>
        <v>0.30000000000000004</v>
      </c>
      <c r="N6" t="s">
        <v>0</v>
      </c>
    </row>
    <row r="7" spans="8:11" ht="15">
      <c r="H7" s="8" t="s">
        <v>407</v>
      </c>
      <c r="I7" s="3" t="s">
        <v>59</v>
      </c>
      <c r="J7">
        <v>0.65</v>
      </c>
      <c r="K7" t="s">
        <v>0</v>
      </c>
    </row>
    <row r="8" spans="2:14" ht="15">
      <c r="B8" t="s">
        <v>406</v>
      </c>
      <c r="C8">
        <f>(J7+0.2)*(M8+0.2)</f>
        <v>0.6800000000000002</v>
      </c>
      <c r="D8" t="s">
        <v>5</v>
      </c>
      <c r="I8" s="3" t="s">
        <v>57</v>
      </c>
      <c r="J8">
        <v>0.53</v>
      </c>
      <c r="K8" t="s">
        <v>0</v>
      </c>
      <c r="L8" s="74" t="s">
        <v>92</v>
      </c>
      <c r="M8">
        <f>ROUNDUP(J8,1)</f>
        <v>0.6</v>
      </c>
      <c r="N8" t="s">
        <v>0</v>
      </c>
    </row>
    <row r="9" spans="2:4" ht="15">
      <c r="B9" t="s">
        <v>90</v>
      </c>
      <c r="C9">
        <f>C8*C3</f>
        <v>0.6800000000000002</v>
      </c>
      <c r="D9" t="s">
        <v>5</v>
      </c>
    </row>
    <row r="11" spans="1:4" ht="15">
      <c r="A11" t="s">
        <v>414</v>
      </c>
      <c r="B11" t="s">
        <v>406</v>
      </c>
      <c r="C11">
        <v>1</v>
      </c>
      <c r="D11" t="s">
        <v>88</v>
      </c>
    </row>
    <row r="12" spans="1:7" ht="15">
      <c r="A12" s="3" t="s">
        <v>413</v>
      </c>
      <c r="B12">
        <f>0.15+2*0.2</f>
        <v>0.55</v>
      </c>
      <c r="C12" t="s">
        <v>0</v>
      </c>
      <c r="D12" s="74" t="s">
        <v>92</v>
      </c>
      <c r="E12">
        <f>B12*0.4</f>
        <v>0.22000000000000003</v>
      </c>
      <c r="F12" t="s">
        <v>2</v>
      </c>
      <c r="G12" s="5"/>
    </row>
    <row r="13" ht="15">
      <c r="A13" s="3" t="s">
        <v>412</v>
      </c>
    </row>
    <row r="14" spans="1:4" ht="15">
      <c r="A14" s="3"/>
      <c r="B14" t="s">
        <v>406</v>
      </c>
      <c r="C14">
        <v>1</v>
      </c>
      <c r="D14" t="s">
        <v>88</v>
      </c>
    </row>
    <row r="15" spans="1:11" ht="15">
      <c r="A15" s="3" t="s">
        <v>416</v>
      </c>
      <c r="B15">
        <v>0.6</v>
      </c>
      <c r="C15" t="s">
        <v>0</v>
      </c>
      <c r="D15" s="74" t="s">
        <v>92</v>
      </c>
      <c r="E15">
        <f>B15*(0.14+0.1)</f>
        <v>0.14400000000000002</v>
      </c>
      <c r="F15" t="s">
        <v>2</v>
      </c>
      <c r="H15" t="s">
        <v>417</v>
      </c>
      <c r="I15" s="3" t="s">
        <v>57</v>
      </c>
      <c r="J15">
        <v>0.6</v>
      </c>
      <c r="K15" t="s">
        <v>0</v>
      </c>
    </row>
    <row r="16" spans="1:11" ht="15">
      <c r="A16" s="3" t="s">
        <v>415</v>
      </c>
      <c r="I16" s="3" t="s">
        <v>418</v>
      </c>
      <c r="J16">
        <v>0.33</v>
      </c>
      <c r="K16" t="s">
        <v>0</v>
      </c>
    </row>
    <row r="17" spans="1:3" ht="15">
      <c r="A17" s="3" t="s">
        <v>419</v>
      </c>
      <c r="B17">
        <v>3</v>
      </c>
      <c r="C17" t="s">
        <v>70</v>
      </c>
    </row>
    <row r="18" spans="1:3" ht="15">
      <c r="A18" s="3" t="s">
        <v>420</v>
      </c>
      <c r="B18">
        <f>B15*1*0.1</f>
        <v>0.06</v>
      </c>
      <c r="C18" t="s">
        <v>5</v>
      </c>
    </row>
    <row r="19" spans="2:4" ht="15">
      <c r="B19" t="s">
        <v>407</v>
      </c>
      <c r="C19">
        <v>1</v>
      </c>
      <c r="D19" t="s">
        <v>88</v>
      </c>
    </row>
    <row r="20" spans="1:6" ht="15">
      <c r="A20" s="3" t="s">
        <v>413</v>
      </c>
      <c r="B20">
        <f>0.4+2*0.2</f>
        <v>0.8</v>
      </c>
      <c r="C20" t="s">
        <v>0</v>
      </c>
      <c r="D20" s="74" t="s">
        <v>92</v>
      </c>
      <c r="E20">
        <f>B20*0.4</f>
        <v>0.32000000000000006</v>
      </c>
      <c r="F20" t="s">
        <v>2</v>
      </c>
    </row>
    <row r="21" ht="15">
      <c r="A21" s="3" t="s">
        <v>412</v>
      </c>
    </row>
    <row r="23" spans="1:14" ht="15">
      <c r="A23" s="110" t="s">
        <v>411</v>
      </c>
      <c r="B23" t="s">
        <v>421</v>
      </c>
      <c r="C23" s="108">
        <v>2</v>
      </c>
      <c r="D23" t="s">
        <v>70</v>
      </c>
      <c r="N23" s="5" t="s">
        <v>432</v>
      </c>
    </row>
    <row r="24" spans="1:17" ht="15">
      <c r="A24" t="s">
        <v>422</v>
      </c>
      <c r="H24" s="23" t="s">
        <v>3</v>
      </c>
      <c r="I24" s="23"/>
      <c r="J24" s="23">
        <v>1</v>
      </c>
      <c r="N24" s="8" t="s">
        <v>421</v>
      </c>
      <c r="O24" s="3" t="s">
        <v>57</v>
      </c>
      <c r="P24">
        <v>0.468</v>
      </c>
      <c r="Q24" t="s">
        <v>0</v>
      </c>
    </row>
    <row r="25" spans="1:17" ht="15">
      <c r="A25" t="s">
        <v>438</v>
      </c>
      <c r="B25">
        <v>10.3</v>
      </c>
      <c r="C25" t="s">
        <v>2</v>
      </c>
      <c r="D25" s="108" t="s">
        <v>310</v>
      </c>
      <c r="E25" s="79">
        <f>B25*$C$23</f>
        <v>20.6</v>
      </c>
      <c r="F25" t="s">
        <v>2</v>
      </c>
      <c r="H25" s="23" t="s">
        <v>424</v>
      </c>
      <c r="I25" s="23"/>
      <c r="J25" s="23">
        <v>1</v>
      </c>
      <c r="L25" s="74"/>
      <c r="O25" s="3" t="s">
        <v>59</v>
      </c>
      <c r="P25">
        <v>0.558</v>
      </c>
      <c r="Q25" t="s">
        <v>0</v>
      </c>
    </row>
    <row r="26" spans="1:17" ht="15">
      <c r="A26" t="s">
        <v>433</v>
      </c>
      <c r="B26" s="1">
        <v>10.5</v>
      </c>
      <c r="C26" t="s">
        <v>5</v>
      </c>
      <c r="E26" s="79">
        <f>B26*$C$23</f>
        <v>21</v>
      </c>
      <c r="F26" t="s">
        <v>5</v>
      </c>
      <c r="H26" t="s">
        <v>84</v>
      </c>
      <c r="I26" s="24" t="s">
        <v>11</v>
      </c>
      <c r="J26" s="24">
        <f>J38+2*0.6</f>
        <v>2.5</v>
      </c>
      <c r="K26" s="24" t="s">
        <v>0</v>
      </c>
      <c r="O26" s="3" t="s">
        <v>434</v>
      </c>
      <c r="P26">
        <v>0.346</v>
      </c>
      <c r="Q26" t="s">
        <v>0</v>
      </c>
    </row>
    <row r="27" spans="5:17" ht="15">
      <c r="E27" s="79"/>
      <c r="I27" s="24" t="s">
        <v>10</v>
      </c>
      <c r="J27" s="24">
        <f>J37+2*0.6</f>
        <v>2.375</v>
      </c>
      <c r="K27" s="24" t="s">
        <v>0</v>
      </c>
      <c r="O27" s="3" t="s">
        <v>158</v>
      </c>
      <c r="P27">
        <v>0.388</v>
      </c>
      <c r="Q27" t="s">
        <v>0</v>
      </c>
    </row>
    <row r="28" spans="1:17" ht="15">
      <c r="A28" t="s">
        <v>6</v>
      </c>
      <c r="B28" s="1">
        <f>(J37+(J37-J36*J39))/2*J36*J38</f>
        <v>0.8930999999999998</v>
      </c>
      <c r="C28" t="s">
        <v>2</v>
      </c>
      <c r="E28" s="111">
        <f aca="true" t="shared" si="0" ref="E28:E30">B28*$C$23</f>
        <v>1.7861999999999996</v>
      </c>
      <c r="F28" t="s">
        <v>2</v>
      </c>
      <c r="I28" s="25" t="s">
        <v>439</v>
      </c>
      <c r="J28" s="24">
        <f>0.15+0.6+J29</f>
        <v>1.75</v>
      </c>
      <c r="K28" s="24" t="s">
        <v>0</v>
      </c>
      <c r="O28" s="3" t="s">
        <v>425</v>
      </c>
      <c r="P28">
        <v>0.25</v>
      </c>
      <c r="Q28" t="s">
        <v>0</v>
      </c>
    </row>
    <row r="29" spans="1:11" ht="15">
      <c r="A29" t="s">
        <v>7</v>
      </c>
      <c r="B29" s="1">
        <f>(J31+(J31+J33/J25))/2*J33*(J32+2*J34)-J44</f>
        <v>0.26184791999999996</v>
      </c>
      <c r="C29" t="s">
        <v>2</v>
      </c>
      <c r="E29" s="111">
        <f t="shared" si="0"/>
        <v>0.5236958399999999</v>
      </c>
      <c r="F29" t="s">
        <v>2</v>
      </c>
      <c r="I29" s="25" t="s">
        <v>423</v>
      </c>
      <c r="J29" s="24">
        <v>1</v>
      </c>
      <c r="K29" s="24" t="s">
        <v>0</v>
      </c>
    </row>
    <row r="30" spans="1:6" ht="15">
      <c r="A30" t="s">
        <v>27</v>
      </c>
      <c r="B30" s="1">
        <f>(J31*J25)*J31/2*J34*2</f>
        <v>0.12675</v>
      </c>
      <c r="C30" t="s">
        <v>2</v>
      </c>
      <c r="E30" s="111">
        <f t="shared" si="0"/>
        <v>0.2535</v>
      </c>
      <c r="F30" t="s">
        <v>2</v>
      </c>
    </row>
    <row r="31" spans="1:16" ht="15">
      <c r="A31" s="3" t="s">
        <v>310</v>
      </c>
      <c r="B31" s="1">
        <f>SUM(B28:B30)</f>
        <v>1.2816979199999996</v>
      </c>
      <c r="C31" t="s">
        <v>2</v>
      </c>
      <c r="E31" s="79">
        <f>SUM(E28:E30)</f>
        <v>2.563395839999999</v>
      </c>
      <c r="F31" t="s">
        <v>2</v>
      </c>
      <c r="G31" t="s">
        <v>18</v>
      </c>
      <c r="H31" t="s">
        <v>12</v>
      </c>
      <c r="I31" s="24" t="s">
        <v>431</v>
      </c>
      <c r="J31" s="24">
        <f>0.3+P33+P34</f>
        <v>0.65</v>
      </c>
      <c r="K31" s="24" t="s">
        <v>0</v>
      </c>
      <c r="P31" s="6" t="s">
        <v>426</v>
      </c>
    </row>
    <row r="32" spans="9:17" ht="15">
      <c r="I32" s="24" t="s">
        <v>11</v>
      </c>
      <c r="J32" s="24">
        <f>0.3+2*0.2</f>
        <v>0.7</v>
      </c>
      <c r="K32" s="24" t="s">
        <v>0</v>
      </c>
      <c r="N32" s="74" t="s">
        <v>435</v>
      </c>
      <c r="O32" t="s">
        <v>427</v>
      </c>
      <c r="P32">
        <f>0.346-0.3/2</f>
        <v>0.19599999999999998</v>
      </c>
      <c r="Q32" s="5" t="s">
        <v>0</v>
      </c>
    </row>
    <row r="33" spans="1:17" ht="15">
      <c r="A33" t="s">
        <v>26</v>
      </c>
      <c r="B33" s="1">
        <f>J37*J36*2+J38*J36*2</f>
        <v>2.9699999999999998</v>
      </c>
      <c r="C33" s="1" t="s">
        <v>5</v>
      </c>
      <c r="E33" s="111">
        <f aca="true" t="shared" si="1" ref="E33:E35">B33*$C$23</f>
        <v>5.9399999999999995</v>
      </c>
      <c r="F33" s="1" t="s">
        <v>5</v>
      </c>
      <c r="I33" s="24" t="s">
        <v>430</v>
      </c>
      <c r="J33" s="24">
        <v>0.3</v>
      </c>
      <c r="K33" s="24" t="s">
        <v>0</v>
      </c>
      <c r="P33" s="108">
        <v>0.2</v>
      </c>
      <c r="Q33" s="108" t="s">
        <v>0</v>
      </c>
    </row>
    <row r="34" spans="1:17" ht="15">
      <c r="A34" t="s">
        <v>29</v>
      </c>
      <c r="B34" s="1">
        <f>J31*J32+(J31+J33/J25)*(J32+2*J34)</f>
        <v>1.69</v>
      </c>
      <c r="C34" s="1" t="s">
        <v>5</v>
      </c>
      <c r="E34" s="111">
        <f t="shared" si="1"/>
        <v>3.38</v>
      </c>
      <c r="F34" s="1" t="s">
        <v>5</v>
      </c>
      <c r="H34" s="21" t="s">
        <v>429</v>
      </c>
      <c r="I34" s="24" t="s">
        <v>11</v>
      </c>
      <c r="J34" s="24">
        <v>0.3</v>
      </c>
      <c r="K34" s="24" t="s">
        <v>0</v>
      </c>
      <c r="O34" s="6" t="s">
        <v>428</v>
      </c>
      <c r="P34">
        <v>0.15</v>
      </c>
      <c r="Q34" t="s">
        <v>0</v>
      </c>
    </row>
    <row r="35" spans="1:6" ht="15">
      <c r="A35" t="s">
        <v>30</v>
      </c>
      <c r="B35" s="1">
        <f>(J31*J25)*J31/2*2+(J31*J25+J33)*(J31+J33/J25)/2*2+J34*SQRT(J31^2+(J31*J25)^2)*2</f>
        <v>1.876543289325507</v>
      </c>
      <c r="C35" s="1" t="s">
        <v>5</v>
      </c>
      <c r="E35" s="111">
        <f t="shared" si="1"/>
        <v>3.753086578651014</v>
      </c>
      <c r="F35" s="1" t="s">
        <v>5</v>
      </c>
    </row>
    <row r="36" spans="1:11" ht="15">
      <c r="A36" s="3" t="s">
        <v>310</v>
      </c>
      <c r="B36" s="1">
        <f>SUM(B33:B35)</f>
        <v>6.5365432893255075</v>
      </c>
      <c r="C36" t="s">
        <v>2</v>
      </c>
      <c r="E36" s="79">
        <f>SUM(E33:E35)</f>
        <v>13.073086578651015</v>
      </c>
      <c r="F36" t="s">
        <v>2</v>
      </c>
      <c r="H36" t="s">
        <v>8</v>
      </c>
      <c r="I36" s="24" t="s">
        <v>9</v>
      </c>
      <c r="J36" s="24">
        <v>0.6</v>
      </c>
      <c r="K36" s="24" t="s">
        <v>0</v>
      </c>
    </row>
    <row r="37" spans="9:11" ht="15">
      <c r="I37" s="24" t="s">
        <v>10</v>
      </c>
      <c r="J37" s="24">
        <f>J31*J25+J33+(J31+J36)*J39+0.1</f>
        <v>1.175</v>
      </c>
      <c r="K37" s="24" t="s">
        <v>0</v>
      </c>
    </row>
    <row r="38" spans="1:11" ht="15">
      <c r="A38" t="s">
        <v>363</v>
      </c>
      <c r="I38" s="24" t="s">
        <v>11</v>
      </c>
      <c r="J38" s="24">
        <f>J32+2*J34</f>
        <v>1.2999999999999998</v>
      </c>
      <c r="K38" s="24" t="s">
        <v>0</v>
      </c>
    </row>
    <row r="39" spans="1:10" ht="15">
      <c r="A39" t="s">
        <v>440</v>
      </c>
      <c r="H39" s="23"/>
      <c r="I39" s="25" t="s">
        <v>19</v>
      </c>
      <c r="J39" s="64">
        <v>0.1</v>
      </c>
    </row>
    <row r="40" ht="15">
      <c r="A40" t="s">
        <v>441</v>
      </c>
    </row>
    <row r="41" spans="9:10" ht="15">
      <c r="I41" s="3" t="s">
        <v>157</v>
      </c>
      <c r="J41" s="24">
        <v>300</v>
      </c>
    </row>
    <row r="42" spans="9:14" ht="15">
      <c r="I42" s="7" t="s">
        <v>22</v>
      </c>
      <c r="J42" s="109">
        <v>0.07</v>
      </c>
      <c r="K42" s="7" t="s">
        <v>0</v>
      </c>
      <c r="L42" s="7"/>
      <c r="M42" s="19"/>
      <c r="N42" s="7"/>
    </row>
    <row r="43" spans="9:12" ht="15">
      <c r="I43" t="s">
        <v>158</v>
      </c>
      <c r="J43">
        <f>(0.15+(J41*0.001)/2)*J39+J33</f>
        <v>0.32999999999999996</v>
      </c>
      <c r="K43" t="s">
        <v>0</v>
      </c>
      <c r="L43" s="7"/>
    </row>
    <row r="44" spans="9:13" ht="15">
      <c r="I44" s="14" t="s">
        <v>13</v>
      </c>
      <c r="J44" s="7">
        <f>3.14*(J41*0.001+2*J42)^2/4*J43</f>
        <v>0.050152079999999995</v>
      </c>
      <c r="K44" s="7" t="s">
        <v>2</v>
      </c>
      <c r="L44" s="7"/>
      <c r="M44" s="7"/>
    </row>
    <row r="45" ht="15">
      <c r="O45" s="6"/>
    </row>
    <row r="46" spans="1:15" ht="15">
      <c r="A46" s="110" t="s">
        <v>436</v>
      </c>
      <c r="B46" t="s">
        <v>437</v>
      </c>
      <c r="C46" s="108">
        <v>2</v>
      </c>
      <c r="D46" t="s">
        <v>70</v>
      </c>
      <c r="M46" s="9"/>
      <c r="N46" s="9"/>
      <c r="O46" s="9"/>
    </row>
    <row r="47" spans="13:15" ht="15">
      <c r="M47" s="9"/>
      <c r="N47" s="9"/>
      <c r="O47" s="9"/>
    </row>
    <row r="48" spans="1:15" ht="15">
      <c r="A48" t="s">
        <v>414</v>
      </c>
      <c r="B48" t="s">
        <v>437</v>
      </c>
      <c r="C48">
        <v>2</v>
      </c>
      <c r="D48" t="s">
        <v>88</v>
      </c>
      <c r="M48" s="9"/>
      <c r="N48" s="9"/>
      <c r="O48" s="9"/>
    </row>
    <row r="49" spans="1:15" ht="15">
      <c r="A49" s="3" t="s">
        <v>413</v>
      </c>
      <c r="B49">
        <f>0.2+2*0.2</f>
        <v>0.6000000000000001</v>
      </c>
      <c r="C49" t="s">
        <v>0</v>
      </c>
      <c r="D49" s="74" t="s">
        <v>92</v>
      </c>
      <c r="E49">
        <f>B49*0.4</f>
        <v>0.24000000000000005</v>
      </c>
      <c r="F49" t="s">
        <v>2</v>
      </c>
      <c r="M49" s="9"/>
      <c r="N49" s="9"/>
      <c r="O49" s="9"/>
    </row>
    <row r="50" spans="1:14" ht="15">
      <c r="A50" s="3" t="s">
        <v>412</v>
      </c>
      <c r="D50" t="s">
        <v>90</v>
      </c>
      <c r="E50" s="108">
        <f>E49*C48</f>
        <v>0.4800000000000001</v>
      </c>
      <c r="F50" t="s">
        <v>2</v>
      </c>
      <c r="M50" s="9"/>
      <c r="N50" s="9"/>
    </row>
    <row r="51" ht="15">
      <c r="O51" s="9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4"/>
  <drawing r:id="rId3"/>
  <legacyDrawing r:id="rId2"/>
  <oleObjects>
    <mc:AlternateContent xmlns:mc="http://schemas.openxmlformats.org/markup-compatibility/2006">
      <mc:Choice Requires="x14">
        <oleObject progId="瑵䍯䑁䐮慲楷杮㈮3畁潴䅃⁄牄睡湩g" shapeId="12289" r:id="rId1">
          <objectPr r:id="rId5">
            <anchor>
              <from>
                <xdr:col>11</xdr:col>
                <xdr:colOff>57150</xdr:colOff>
                <xdr:row>35</xdr:row>
                <xdr:rowOff>9525</xdr:rowOff>
              </from>
              <to>
                <xdr:col>17</xdr:col>
                <xdr:colOff>523875</xdr:colOff>
                <xdr:row>46</xdr:row>
                <xdr:rowOff>57150</xdr:rowOff>
              </to>
            </anchor>
          </objectPr>
        </oleObject>
      </mc:Choice>
      <mc:Fallback>
        <oleObject progId="瑵䍯䑁䐮慲楷杮㈮3畁潴䅃⁄牄睡湩g" shapeId="12289" r:id="rId1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25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4.28125" style="0" customWidth="1"/>
    <col min="3" max="5" width="8.8515625" style="1" customWidth="1"/>
  </cols>
  <sheetData>
    <row r="1" spans="1:16384" ht="15">
      <c r="A1" s="33" t="s">
        <v>456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  <c r="XEI1" s="33"/>
      <c r="XEJ1" s="33"/>
      <c r="XEK1" s="33"/>
      <c r="XEL1" s="33"/>
      <c r="XEM1" s="33"/>
      <c r="XEN1" s="33"/>
      <c r="XEO1" s="33"/>
      <c r="XEP1" s="33"/>
      <c r="XEQ1" s="33"/>
      <c r="XER1" s="33"/>
      <c r="XES1" s="33"/>
      <c r="XET1" s="33"/>
      <c r="XEU1" s="33"/>
      <c r="XEV1" s="33"/>
      <c r="XEW1" s="33"/>
      <c r="XEX1" s="33"/>
      <c r="XEY1" s="33"/>
      <c r="XEZ1" s="33"/>
      <c r="XFA1" s="33"/>
      <c r="XFB1" s="33"/>
      <c r="XFC1" s="33"/>
      <c r="XFD1" s="33"/>
    </row>
    <row r="2" spans="1:11" ht="15">
      <c r="A2" t="s">
        <v>1</v>
      </c>
      <c r="B2" s="1">
        <v>9.77</v>
      </c>
      <c r="C2" t="s">
        <v>2</v>
      </c>
      <c r="D2" s="1" t="s">
        <v>16</v>
      </c>
      <c r="I2" s="24" t="s">
        <v>3</v>
      </c>
      <c r="J2" s="24"/>
      <c r="K2" s="24">
        <v>1</v>
      </c>
    </row>
    <row r="3" spans="1:17" ht="15">
      <c r="A3" s="3" t="s">
        <v>17</v>
      </c>
      <c r="B3" s="1">
        <f>0.3*B11</f>
        <v>3.36</v>
      </c>
      <c r="C3" t="s">
        <v>2</v>
      </c>
      <c r="O3" s="6"/>
      <c r="P3" s="7"/>
      <c r="Q3" s="7"/>
    </row>
    <row r="4" spans="4:17" ht="15">
      <c r="D4" s="2"/>
      <c r="O4" s="6"/>
      <c r="P4" s="7"/>
      <c r="Q4" s="7"/>
    </row>
    <row r="5" spans="1:15" ht="15">
      <c r="A5" t="s">
        <v>6</v>
      </c>
      <c r="B5" s="1">
        <f>((K8-0.32*K10/2)*0.32+((K8-0.32*K10)+P7)/2*0.28)*K9</f>
        <v>1.6015999999999997</v>
      </c>
      <c r="C5" t="s">
        <v>2</v>
      </c>
      <c r="J5" s="8"/>
      <c r="K5" s="3"/>
      <c r="M5" s="9"/>
      <c r="N5" s="9"/>
      <c r="O5" s="10"/>
    </row>
    <row r="6" spans="1:15" ht="15">
      <c r="A6" t="s">
        <v>7</v>
      </c>
      <c r="B6" s="1">
        <f>K11*K12*(K13+K11*K14/2)-K18</f>
        <v>0.37869776</v>
      </c>
      <c r="C6" t="s">
        <v>2</v>
      </c>
      <c r="M6" s="9"/>
      <c r="N6" s="9"/>
      <c r="O6" s="9"/>
    </row>
    <row r="7" spans="1:16" ht="15">
      <c r="A7" t="s">
        <v>27</v>
      </c>
      <c r="B7" s="1">
        <f>2*(P7*K11)/2*0.3</f>
        <v>0.38151</v>
      </c>
      <c r="C7" t="s">
        <v>2</v>
      </c>
      <c r="H7" t="s">
        <v>18</v>
      </c>
      <c r="I7" t="s">
        <v>8</v>
      </c>
      <c r="J7" s="24" t="s">
        <v>9</v>
      </c>
      <c r="K7" s="24">
        <v>0.6</v>
      </c>
      <c r="L7" s="24" t="s">
        <v>0</v>
      </c>
      <c r="M7" s="9" t="s">
        <v>20</v>
      </c>
      <c r="N7" s="9"/>
      <c r="O7" s="6" t="s">
        <v>21</v>
      </c>
      <c r="P7">
        <f>0.38+1.19</f>
        <v>1.5699999999999998</v>
      </c>
    </row>
    <row r="8" spans="10:15" ht="15">
      <c r="J8" s="24" t="s">
        <v>10</v>
      </c>
      <c r="K8" s="24">
        <v>2.03</v>
      </c>
      <c r="L8" s="24" t="s">
        <v>0</v>
      </c>
      <c r="M8" s="9"/>
      <c r="N8" s="9"/>
      <c r="O8" s="9"/>
    </row>
    <row r="9" spans="1:15" ht="15">
      <c r="A9" t="s">
        <v>32</v>
      </c>
      <c r="B9" s="1">
        <f>B5+(P7*K11)/2*K12</f>
        <v>2.4917899999999995</v>
      </c>
      <c r="C9" t="s">
        <v>2</v>
      </c>
      <c r="J9" s="24" t="s">
        <v>11</v>
      </c>
      <c r="K9" s="24">
        <v>1.4</v>
      </c>
      <c r="L9" s="24" t="s">
        <v>0</v>
      </c>
      <c r="M9" s="9"/>
      <c r="N9" s="9"/>
      <c r="O9" s="9"/>
    </row>
    <row r="10" spans="9:15" ht="15">
      <c r="I10" s="23"/>
      <c r="J10" s="25" t="s">
        <v>19</v>
      </c>
      <c r="K10" s="64">
        <v>0.1</v>
      </c>
      <c r="M10" s="9"/>
      <c r="N10" s="9"/>
      <c r="O10" s="9"/>
    </row>
    <row r="11" spans="1:15" ht="15">
      <c r="A11" s="11" t="s">
        <v>23</v>
      </c>
      <c r="B11" s="12">
        <f>F12*F11</f>
        <v>11.2</v>
      </c>
      <c r="C11" s="1" t="s">
        <v>5</v>
      </c>
      <c r="E11" s="20" t="s">
        <v>15</v>
      </c>
      <c r="F11" s="1">
        <v>1.4</v>
      </c>
      <c r="I11" t="s">
        <v>12</v>
      </c>
      <c r="J11" s="24" t="s">
        <v>9</v>
      </c>
      <c r="K11" s="24">
        <v>0.81</v>
      </c>
      <c r="L11" s="24" t="s">
        <v>0</v>
      </c>
      <c r="M11" s="9"/>
      <c r="N11" s="9"/>
      <c r="O11" s="9"/>
    </row>
    <row r="12" spans="5:14" ht="15">
      <c r="E12" s="20" t="s">
        <v>24</v>
      </c>
      <c r="F12">
        <v>8</v>
      </c>
      <c r="G12" t="s">
        <v>25</v>
      </c>
      <c r="J12" s="24" t="s">
        <v>10</v>
      </c>
      <c r="K12" s="24">
        <v>1.4</v>
      </c>
      <c r="L12" s="24" t="s">
        <v>0</v>
      </c>
      <c r="M12" s="9"/>
      <c r="N12" s="9"/>
    </row>
    <row r="13" spans="1:15" ht="15">
      <c r="A13" t="s">
        <v>26</v>
      </c>
      <c r="B13" s="1">
        <f>2*K8*K7+K9*K7</f>
        <v>3.2759999999999994</v>
      </c>
      <c r="C13" s="1" t="s">
        <v>5</v>
      </c>
      <c r="D13" s="7" t="s">
        <v>28</v>
      </c>
      <c r="J13" s="24" t="s">
        <v>11</v>
      </c>
      <c r="K13" s="24">
        <v>0.3</v>
      </c>
      <c r="L13" s="24" t="s">
        <v>0</v>
      </c>
      <c r="O13" s="9"/>
    </row>
    <row r="14" spans="1:11" ht="15">
      <c r="A14" t="s">
        <v>29</v>
      </c>
      <c r="B14" s="1">
        <f>2*K12*K11</f>
        <v>2.268</v>
      </c>
      <c r="C14" s="1" t="s">
        <v>5</v>
      </c>
      <c r="D14" s="7" t="s">
        <v>31</v>
      </c>
      <c r="J14" s="25" t="s">
        <v>19</v>
      </c>
      <c r="K14" s="64">
        <v>0.1</v>
      </c>
    </row>
    <row r="15" spans="1:15" ht="15">
      <c r="A15" t="s">
        <v>30</v>
      </c>
      <c r="B15" s="1">
        <f>2*(P7*K11)/2+2*(1.19*K11)/2</f>
        <v>2.2356</v>
      </c>
      <c r="C15" s="1" t="s">
        <v>5</v>
      </c>
      <c r="J15" s="3" t="s">
        <v>157</v>
      </c>
      <c r="K15" s="24">
        <v>400</v>
      </c>
      <c r="M15" s="7" t="s">
        <v>22</v>
      </c>
      <c r="N15" s="19">
        <v>0.06</v>
      </c>
      <c r="O15" s="7" t="s">
        <v>0</v>
      </c>
    </row>
    <row r="16" spans="1:13" ht="15">
      <c r="A16" s="15"/>
      <c r="B16" s="16"/>
      <c r="C16" s="17"/>
      <c r="E16" s="13"/>
      <c r="J16" s="25" t="s">
        <v>159</v>
      </c>
      <c r="K16">
        <v>0.38</v>
      </c>
      <c r="L16" t="s">
        <v>0</v>
      </c>
      <c r="M16" s="7" t="s">
        <v>160</v>
      </c>
    </row>
    <row r="17" spans="1:14" ht="15">
      <c r="A17" t="s">
        <v>228</v>
      </c>
      <c r="B17">
        <v>1</v>
      </c>
      <c r="C17" s="1" t="s">
        <v>70</v>
      </c>
      <c r="J17" t="s">
        <v>158</v>
      </c>
      <c r="K17">
        <f>(0.15+(K15*0.001)/2)*K14</f>
        <v>0.034999999999999996</v>
      </c>
      <c r="L17" t="s">
        <v>0</v>
      </c>
      <c r="M17" s="7"/>
      <c r="N17" s="7"/>
    </row>
    <row r="18" spans="10:12" ht="15">
      <c r="J18" s="14" t="s">
        <v>13</v>
      </c>
      <c r="K18" s="7">
        <f>3.14*(K15*0.001+2*N15)^2/4*K17</f>
        <v>0.00742924</v>
      </c>
      <c r="L18" s="7" t="s">
        <v>2</v>
      </c>
    </row>
    <row r="19" ht="15">
      <c r="L19" s="18"/>
    </row>
    <row r="20" ht="15">
      <c r="L20" s="18"/>
    </row>
    <row r="21" ht="15">
      <c r="L21" s="18"/>
    </row>
    <row r="22" ht="15">
      <c r="J22" s="3"/>
    </row>
    <row r="24" spans="13:15" ht="15">
      <c r="M24" s="6"/>
      <c r="N24" s="7"/>
      <c r="O24" s="7"/>
    </row>
    <row r="25" spans="13:15" ht="15">
      <c r="M25" s="6"/>
      <c r="N25" s="7"/>
      <c r="O25" s="7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I20" sqref="I20"/>
    </sheetView>
  </sheetViews>
  <sheetFormatPr defaultColWidth="9.140625" defaultRowHeight="15"/>
  <cols>
    <col min="2" max="2" width="10.7109375" style="0" customWidth="1"/>
  </cols>
  <sheetData>
    <row r="1" ht="15" thickBot="1">
      <c r="A1" s="121" t="s">
        <v>457</v>
      </c>
    </row>
    <row r="2" spans="1:5" ht="15">
      <c r="A2" s="122" t="s">
        <v>458</v>
      </c>
      <c r="B2" s="120"/>
      <c r="C2" s="120"/>
      <c r="D2" s="120"/>
      <c r="E2" s="120"/>
    </row>
    <row r="3" spans="1:5" ht="15">
      <c r="A3" s="122"/>
      <c r="B3" s="120"/>
      <c r="C3" s="120"/>
      <c r="D3" s="120"/>
      <c r="E3" s="120"/>
    </row>
    <row r="4" spans="1:5" ht="16.2">
      <c r="A4" s="123" t="s">
        <v>459</v>
      </c>
      <c r="B4" s="120"/>
      <c r="C4" s="124">
        <f>(206.9*0.665)*1.1</f>
        <v>151.34735000000003</v>
      </c>
      <c r="D4" t="s">
        <v>460</v>
      </c>
      <c r="E4" s="120"/>
    </row>
    <row r="5" spans="1:5" ht="16.8" thickBot="1">
      <c r="A5" s="123" t="s">
        <v>461</v>
      </c>
      <c r="B5" s="120"/>
      <c r="C5" s="124">
        <f>(12.48*9+21.27*0.6)*1.1</f>
        <v>137.5902</v>
      </c>
      <c r="D5" t="s">
        <v>460</v>
      </c>
      <c r="E5" s="120"/>
    </row>
    <row r="6" spans="1:5" ht="16.8" thickBot="1">
      <c r="A6" s="123"/>
      <c r="B6" s="120"/>
      <c r="C6" s="125">
        <f>SUM(C4:C5)</f>
        <v>288.93755000000004</v>
      </c>
      <c r="D6" t="s">
        <v>460</v>
      </c>
      <c r="E6" s="120"/>
    </row>
    <row r="7" spans="1:5" ht="15">
      <c r="A7" s="123"/>
      <c r="B7" s="120"/>
      <c r="C7" s="120"/>
      <c r="D7" s="120"/>
      <c r="E7" s="120"/>
    </row>
    <row r="8" spans="1:6" ht="15">
      <c r="A8" s="120"/>
      <c r="B8" s="122"/>
      <c r="C8" s="120"/>
      <c r="D8" s="120"/>
      <c r="E8" s="120"/>
      <c r="F8" s="120"/>
    </row>
    <row r="9" spans="1:5" ht="16.2">
      <c r="A9" s="123" t="s">
        <v>462</v>
      </c>
      <c r="B9" s="120"/>
      <c r="C9" s="120"/>
      <c r="D9" s="120"/>
      <c r="E9" s="120"/>
    </row>
    <row r="10" spans="1:5" ht="15">
      <c r="A10" s="126" t="s">
        <v>463</v>
      </c>
      <c r="B10" s="120"/>
      <c r="C10" s="120"/>
      <c r="D10" s="120"/>
      <c r="E10" s="120"/>
    </row>
    <row r="11" spans="1:5" ht="15">
      <c r="A11" s="126" t="s">
        <v>464</v>
      </c>
      <c r="B11" s="120"/>
      <c r="C11" s="120"/>
      <c r="D11" s="120"/>
      <c r="E11" s="120"/>
    </row>
    <row r="12" spans="1:5" ht="15">
      <c r="A12" s="126" t="s">
        <v>465</v>
      </c>
      <c r="B12" s="120"/>
      <c r="C12" s="120"/>
      <c r="D12" s="120"/>
      <c r="E12" s="120"/>
    </row>
    <row r="13" spans="1:5" ht="15">
      <c r="A13" s="127" t="s">
        <v>466</v>
      </c>
      <c r="B13" s="120"/>
      <c r="C13" s="120"/>
      <c r="D13" s="120"/>
      <c r="E13" s="120"/>
    </row>
    <row r="14" spans="1:5" ht="15">
      <c r="A14" s="128"/>
      <c r="B14" s="120"/>
      <c r="C14" s="120"/>
      <c r="D14" s="120"/>
      <c r="E14" s="120"/>
    </row>
    <row r="15" spans="1:5" ht="16.2">
      <c r="A15" s="129" t="s">
        <v>467</v>
      </c>
      <c r="B15" s="120"/>
      <c r="C15" s="120"/>
      <c r="D15" s="120"/>
      <c r="E15" s="120"/>
    </row>
    <row r="16" spans="1:5" ht="15">
      <c r="A16" s="126" t="s">
        <v>463</v>
      </c>
      <c r="B16" s="120"/>
      <c r="C16" s="120"/>
      <c r="D16" s="120"/>
      <c r="E16" s="120"/>
    </row>
    <row r="17" spans="1:5" ht="15">
      <c r="A17" s="126" t="s">
        <v>464</v>
      </c>
      <c r="B17" s="120"/>
      <c r="C17" s="120"/>
      <c r="D17" s="120"/>
      <c r="E17" s="120"/>
    </row>
    <row r="18" spans="1:5" ht="15">
      <c r="A18" s="126" t="s">
        <v>468</v>
      </c>
      <c r="B18" s="120"/>
      <c r="C18" s="120"/>
      <c r="D18" s="120"/>
      <c r="E18" s="120"/>
    </row>
    <row r="19" spans="1:5" ht="15">
      <c r="A19" s="127" t="s">
        <v>466</v>
      </c>
      <c r="B19" s="120"/>
      <c r="C19" s="120"/>
      <c r="D19" s="120"/>
      <c r="E19" s="120"/>
    </row>
    <row r="20" spans="1:5" ht="15">
      <c r="A20" s="128"/>
      <c r="B20" s="120"/>
      <c r="C20" s="120"/>
      <c r="D20" s="120"/>
      <c r="E20" s="120"/>
    </row>
    <row r="21" spans="1:5" ht="16.2">
      <c r="A21" s="129" t="s">
        <v>469</v>
      </c>
      <c r="B21" s="120"/>
      <c r="C21" s="120"/>
      <c r="D21" s="120"/>
      <c r="E21" s="120"/>
    </row>
    <row r="22" spans="1:5" ht="15">
      <c r="A22" s="126" t="s">
        <v>470</v>
      </c>
      <c r="B22" s="120"/>
      <c r="C22" s="120"/>
      <c r="D22" s="120"/>
      <c r="E22" s="120"/>
    </row>
    <row r="23" ht="15">
      <c r="A23" t="s">
        <v>471</v>
      </c>
    </row>
    <row r="24" ht="15">
      <c r="A24" s="129" t="s">
        <v>472</v>
      </c>
    </row>
    <row r="25" spans="1:10" ht="15">
      <c r="A25" s="130" t="s">
        <v>473</v>
      </c>
      <c r="J25" t="s">
        <v>474</v>
      </c>
    </row>
    <row r="26" ht="15">
      <c r="A26" s="130" t="s">
        <v>475</v>
      </c>
    </row>
    <row r="28" ht="15">
      <c r="A28" t="s">
        <v>476</v>
      </c>
    </row>
    <row r="29" ht="15">
      <c r="A29" t="s">
        <v>477</v>
      </c>
    </row>
    <row r="30" ht="15">
      <c r="A30" t="s">
        <v>478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8"/>
  <sheetViews>
    <sheetView view="pageBreakPreview" zoomScaleSheetLayoutView="100" workbookViewId="0" topLeftCell="A10">
      <selection activeCell="B45" sqref="B45"/>
    </sheetView>
  </sheetViews>
  <sheetFormatPr defaultColWidth="9.140625" defaultRowHeight="15"/>
  <cols>
    <col min="1" max="1" width="45.8515625" style="0" customWidth="1"/>
    <col min="3" max="5" width="8.8515625" style="1" customWidth="1"/>
  </cols>
  <sheetData>
    <row r="1" ht="15">
      <c r="A1" s="33" t="s">
        <v>161</v>
      </c>
    </row>
    <row r="2" spans="1:12" ht="15">
      <c r="A2" t="s">
        <v>33</v>
      </c>
      <c r="B2" s="1"/>
      <c r="C2"/>
      <c r="J2" s="3" t="s">
        <v>35</v>
      </c>
      <c r="K2" s="24">
        <v>0.5</v>
      </c>
      <c r="L2" s="24"/>
    </row>
    <row r="3" spans="1:17" ht="15">
      <c r="A3" s="21" t="s">
        <v>34</v>
      </c>
      <c r="B3" s="1">
        <f>E9</f>
        <v>112.36953999999965</v>
      </c>
      <c r="C3" t="s">
        <v>2</v>
      </c>
      <c r="D3" s="34" t="s">
        <v>102</v>
      </c>
      <c r="E3" s="34" t="s">
        <v>77</v>
      </c>
      <c r="J3" t="s">
        <v>36</v>
      </c>
      <c r="K3" s="24">
        <v>0.15</v>
      </c>
      <c r="L3" s="24" t="s">
        <v>0</v>
      </c>
      <c r="O3" s="6"/>
      <c r="P3" s="7"/>
      <c r="Q3" s="7"/>
    </row>
    <row r="4" spans="4:17" ht="15">
      <c r="D4" s="34"/>
      <c r="E4" s="35" t="s">
        <v>78</v>
      </c>
      <c r="J4" s="3" t="s">
        <v>37</v>
      </c>
      <c r="K4" s="24">
        <f>0.04+0.07+0.15+0.15</f>
        <v>0.41000000000000003</v>
      </c>
      <c r="L4" s="24" t="s">
        <v>0</v>
      </c>
      <c r="M4" s="29" t="s">
        <v>166</v>
      </c>
      <c r="N4" s="29"/>
      <c r="O4" s="29">
        <f>((E5*E6)+(E7*E8))/2*O5</f>
        <v>113.40011999999965</v>
      </c>
      <c r="P4" s="29" t="s">
        <v>2</v>
      </c>
      <c r="Q4" s="7"/>
    </row>
    <row r="5" spans="1:17" ht="15">
      <c r="A5" t="s">
        <v>40</v>
      </c>
      <c r="B5" s="66">
        <f>0.1*K8*K9</f>
        <v>0.575</v>
      </c>
      <c r="C5" t="s">
        <v>2</v>
      </c>
      <c r="D5" s="36" t="s">
        <v>79</v>
      </c>
      <c r="E5" s="37">
        <f>K6</f>
        <v>4.3</v>
      </c>
      <c r="J5" s="3" t="s">
        <v>4</v>
      </c>
      <c r="K5" s="39">
        <f>210.51-205.56</f>
        <v>4.949999999999989</v>
      </c>
      <c r="L5" s="24" t="s">
        <v>0</v>
      </c>
      <c r="M5" s="7" t="s">
        <v>85</v>
      </c>
      <c r="O5" s="40">
        <f>K5-K4</f>
        <v>4.5399999999999885</v>
      </c>
      <c r="P5" s="10" t="s">
        <v>0</v>
      </c>
      <c r="Q5" s="7"/>
    </row>
    <row r="6" spans="1:17" ht="15">
      <c r="A6" t="s">
        <v>41</v>
      </c>
      <c r="B6" s="1">
        <f>K11*K12*K10</f>
        <v>1.449</v>
      </c>
      <c r="C6" t="s">
        <v>2</v>
      </c>
      <c r="D6" s="36" t="s">
        <v>80</v>
      </c>
      <c r="E6" s="37">
        <f>K7</f>
        <v>3.6000000000000005</v>
      </c>
      <c r="I6" s="3" t="s">
        <v>84</v>
      </c>
      <c r="J6" s="25" t="s">
        <v>45</v>
      </c>
      <c r="K6" s="24">
        <f>2.3+1+1</f>
        <v>4.3</v>
      </c>
      <c r="L6" s="24" t="s">
        <v>0</v>
      </c>
      <c r="O6" s="6"/>
      <c r="P6" s="7"/>
      <c r="Q6" s="7"/>
    </row>
    <row r="7" spans="1:15" ht="13.8" customHeight="1">
      <c r="A7" t="s">
        <v>50</v>
      </c>
      <c r="B7" s="1">
        <f>2*K11*K13*K14+2*(K12-2*K14)*K13*K14-2*3.14*K17^2/4*K14</f>
        <v>4.8045681</v>
      </c>
      <c r="C7" t="s">
        <v>2</v>
      </c>
      <c r="D7" s="36" t="s">
        <v>81</v>
      </c>
      <c r="E7" s="37">
        <f>E5+2*O5*K2</f>
        <v>8.83999999999999</v>
      </c>
      <c r="J7" s="25" t="s">
        <v>46</v>
      </c>
      <c r="K7" s="24">
        <f>2.1+0.8+0.7</f>
        <v>3.6000000000000005</v>
      </c>
      <c r="L7" s="24" t="s">
        <v>0</v>
      </c>
      <c r="M7" s="9"/>
      <c r="N7" s="9"/>
      <c r="O7" s="3" t="s">
        <v>61</v>
      </c>
    </row>
    <row r="8" spans="1:17" ht="15">
      <c r="A8" t="s">
        <v>51</v>
      </c>
      <c r="B8" s="1">
        <f>(K11*K12-3.14*K19^2/4)*K15</f>
        <v>1.2135</v>
      </c>
      <c r="C8" t="s">
        <v>2</v>
      </c>
      <c r="D8" s="36" t="s">
        <v>82</v>
      </c>
      <c r="E8" s="37">
        <f>K7+2*K3</f>
        <v>3.9000000000000004</v>
      </c>
      <c r="I8" s="3" t="s">
        <v>38</v>
      </c>
      <c r="J8" s="25" t="s">
        <v>45</v>
      </c>
      <c r="K8" s="24">
        <v>2.5</v>
      </c>
      <c r="L8" s="24" t="s">
        <v>0</v>
      </c>
      <c r="M8" s="9"/>
      <c r="O8" s="3" t="s">
        <v>62</v>
      </c>
      <c r="P8" s="25">
        <v>0.2</v>
      </c>
      <c r="Q8" s="24" t="s">
        <v>0</v>
      </c>
    </row>
    <row r="9" spans="1:17" ht="15">
      <c r="A9" t="s">
        <v>44</v>
      </c>
      <c r="B9" s="1">
        <f>N11*N12*(P8+P9)-(3.14*(P9^2/4)/2)*N11</f>
        <v>1.29817753125</v>
      </c>
      <c r="C9" t="s">
        <v>2</v>
      </c>
      <c r="D9" s="36" t="s">
        <v>83</v>
      </c>
      <c r="E9" s="37">
        <f>1/6*O5*((2*E7+E5)*E8+(2*E5+E7)*E6)</f>
        <v>112.36953999999965</v>
      </c>
      <c r="J9" s="25" t="s">
        <v>46</v>
      </c>
      <c r="K9" s="24">
        <v>2.3</v>
      </c>
      <c r="L9" s="24" t="s">
        <v>0</v>
      </c>
      <c r="M9" s="9"/>
      <c r="O9" s="22" t="s">
        <v>63</v>
      </c>
      <c r="P9" s="28">
        <f>K17/2</f>
        <v>0.335</v>
      </c>
      <c r="Q9" s="29" t="s">
        <v>0</v>
      </c>
    </row>
    <row r="10" spans="1:20" ht="15">
      <c r="A10" s="77" t="s">
        <v>244</v>
      </c>
      <c r="H10" t="s">
        <v>39</v>
      </c>
      <c r="I10" s="3" t="s">
        <v>96</v>
      </c>
      <c r="J10" s="25" t="s">
        <v>47</v>
      </c>
      <c r="K10" s="24">
        <v>0.3</v>
      </c>
      <c r="L10" s="24" t="s">
        <v>0</v>
      </c>
      <c r="M10" s="9"/>
      <c r="N10" s="9"/>
      <c r="O10" s="9"/>
      <c r="T10" s="38"/>
    </row>
    <row r="11" spans="1:20" ht="15">
      <c r="A11" s="77" t="s">
        <v>245</v>
      </c>
      <c r="B11">
        <f>(K6-2*0.25)*2+(K7-2*0.25)*2</f>
        <v>13.8</v>
      </c>
      <c r="C11" s="1" t="s">
        <v>0</v>
      </c>
      <c r="J11" s="25" t="s">
        <v>46</v>
      </c>
      <c r="K11" s="26">
        <v>2.1</v>
      </c>
      <c r="L11" s="24" t="s">
        <v>0</v>
      </c>
      <c r="M11" s="9" t="s">
        <v>64</v>
      </c>
      <c r="N11" s="6">
        <f>K11-2*K14</f>
        <v>1.5</v>
      </c>
      <c r="O11" s="10" t="s">
        <v>0</v>
      </c>
      <c r="T11" s="38"/>
    </row>
    <row r="12" spans="1:20" ht="15">
      <c r="A12" s="77"/>
      <c r="J12" s="25" t="s">
        <v>45</v>
      </c>
      <c r="K12" s="26">
        <v>2.3</v>
      </c>
      <c r="L12" s="24" t="s">
        <v>0</v>
      </c>
      <c r="M12" s="9"/>
      <c r="N12" s="6">
        <f>K12-2*K14</f>
        <v>1.6999999999999997</v>
      </c>
      <c r="O12" s="10" t="s">
        <v>0</v>
      </c>
      <c r="T12" s="38"/>
    </row>
    <row r="13" spans="1:15" ht="15">
      <c r="A13" t="s">
        <v>175</v>
      </c>
      <c r="B13" s="1">
        <f>E13*E14</f>
        <v>28.896999999999874</v>
      </c>
      <c r="C13" s="1" t="s">
        <v>5</v>
      </c>
      <c r="D13" s="36" t="s">
        <v>164</v>
      </c>
      <c r="E13" s="37">
        <f>K7+2*(K5-K4)*K2</f>
        <v>8.13999999999999</v>
      </c>
      <c r="F13" s="37" t="s">
        <v>0</v>
      </c>
      <c r="I13" s="3" t="s">
        <v>43</v>
      </c>
      <c r="J13" s="25" t="s">
        <v>48</v>
      </c>
      <c r="K13" s="24">
        <v>2.2</v>
      </c>
      <c r="L13" s="24" t="s">
        <v>0</v>
      </c>
      <c r="M13" s="9"/>
      <c r="N13" s="9"/>
      <c r="O13" s="9"/>
    </row>
    <row r="14" spans="1:14" ht="15">
      <c r="A14" s="21" t="s">
        <v>163</v>
      </c>
      <c r="B14" s="1">
        <f>B13*2</f>
        <v>57.79399999999975</v>
      </c>
      <c r="C14" s="1" t="s">
        <v>5</v>
      </c>
      <c r="D14" s="36" t="s">
        <v>108</v>
      </c>
      <c r="E14" s="37">
        <f>K5-1.4</f>
        <v>3.5499999999999887</v>
      </c>
      <c r="F14" s="37" t="s">
        <v>0</v>
      </c>
      <c r="I14" s="3" t="s">
        <v>52</v>
      </c>
      <c r="J14" s="25" t="s">
        <v>47</v>
      </c>
      <c r="K14" s="24">
        <v>0.3</v>
      </c>
      <c r="L14" s="24" t="s">
        <v>0</v>
      </c>
      <c r="M14" s="9"/>
      <c r="N14" s="9"/>
    </row>
    <row r="15" spans="5:15" ht="15">
      <c r="E15" s="20"/>
      <c r="F15" s="1"/>
      <c r="I15" s="3" t="s">
        <v>42</v>
      </c>
      <c r="J15" s="25" t="s">
        <v>47</v>
      </c>
      <c r="K15" s="24">
        <v>0.3</v>
      </c>
      <c r="L15" s="24" t="s">
        <v>0</v>
      </c>
      <c r="O15" s="9"/>
    </row>
    <row r="16" spans="1:3" ht="15">
      <c r="A16" t="s">
        <v>65</v>
      </c>
      <c r="B16" s="1">
        <f>B5+(K11*K12)*(K5-K4-K10-0.1)+K41-3.14*0.625^2/4*K4</f>
        <v>22.339482561249945</v>
      </c>
      <c r="C16" t="s">
        <v>2</v>
      </c>
    </row>
    <row r="17" spans="1:15" ht="15">
      <c r="A17" t="s">
        <v>66</v>
      </c>
      <c r="B17" s="1">
        <f>O4-B16</f>
        <v>91.0606374387497</v>
      </c>
      <c r="C17" t="s">
        <v>2</v>
      </c>
      <c r="I17" s="25">
        <v>500</v>
      </c>
      <c r="J17" s="3" t="s">
        <v>54</v>
      </c>
      <c r="K17" s="3">
        <f>I17*0.001+2*N18</f>
        <v>0.67</v>
      </c>
      <c r="L17" t="s">
        <v>0</v>
      </c>
      <c r="M17" s="10" t="s">
        <v>165</v>
      </c>
      <c r="N17" s="9"/>
      <c r="O17" s="7"/>
    </row>
    <row r="18" spans="13:15" ht="15">
      <c r="M18" s="19" t="s">
        <v>134</v>
      </c>
      <c r="N18" s="19">
        <v>0.085</v>
      </c>
      <c r="O18" s="53" t="s">
        <v>0</v>
      </c>
    </row>
    <row r="19" spans="1:14" ht="15">
      <c r="A19" s="11" t="s">
        <v>49</v>
      </c>
      <c r="B19" s="12">
        <f>10.75*(K7+2*0.96)</f>
        <v>59.34</v>
      </c>
      <c r="C19" s="1" t="s">
        <v>5</v>
      </c>
      <c r="D19" s="7"/>
      <c r="E19" s="13"/>
      <c r="H19" s="25" t="s">
        <v>53</v>
      </c>
      <c r="I19" s="3" t="s">
        <v>56</v>
      </c>
      <c r="J19" s="25" t="s">
        <v>86</v>
      </c>
      <c r="K19" s="26">
        <v>1</v>
      </c>
      <c r="L19" s="24" t="s">
        <v>0</v>
      </c>
      <c r="M19" s="7"/>
      <c r="N19" s="7"/>
    </row>
    <row r="20" spans="1:12" ht="15">
      <c r="A20" s="21" t="s">
        <v>146</v>
      </c>
      <c r="B20" s="1">
        <f>(K6+2*((O5*K2)+0.15+0.3+0.15+0.15+0.07+0.1+0.04))*(K7+2*(0.15+0.3+0.15+0.15+0.07+0.1+0.04))</f>
        <v>59.39519999999993</v>
      </c>
      <c r="C20" s="1" t="s">
        <v>5</v>
      </c>
      <c r="D20" s="7"/>
      <c r="J20" s="41"/>
      <c r="K20" s="42"/>
      <c r="L20" s="23"/>
    </row>
    <row r="21" spans="1:13" ht="15">
      <c r="A21" s="21" t="s">
        <v>147</v>
      </c>
      <c r="B21" s="1">
        <f>(K6+2*((O5*K2)+0.15+0.3+0.15+0.15+0.07))*(K7+2*(0.15+0.3+0.15+0.15+0.07))</f>
        <v>54.91519999999993</v>
      </c>
      <c r="C21" s="1" t="s">
        <v>5</v>
      </c>
      <c r="I21" s="3" t="s">
        <v>58</v>
      </c>
      <c r="J21" s="28" t="s">
        <v>59</v>
      </c>
      <c r="K21" s="30">
        <f>K5-0.1-K10-K15-K13-K23</f>
        <v>1.8899999999999892</v>
      </c>
      <c r="L21" s="29" t="s">
        <v>0</v>
      </c>
      <c r="M21" s="10" t="s">
        <v>181</v>
      </c>
    </row>
    <row r="22" spans="1:3" ht="15">
      <c r="A22" s="22" t="s">
        <v>151</v>
      </c>
      <c r="B22" s="1">
        <f>(K6+2*(O5*K2)+0.15+0.3+0.15)*(K7+2*(0.15+0.3+0.15))</f>
        <v>45.31199999999996</v>
      </c>
      <c r="C22" s="1" t="s">
        <v>5</v>
      </c>
    </row>
    <row r="23" spans="1:20" ht="15">
      <c r="A23" s="22" t="s">
        <v>149</v>
      </c>
      <c r="B23" s="1">
        <f>(K6+2*O5*K2)*K7</f>
        <v>31.823999999999966</v>
      </c>
      <c r="C23" s="1" t="s">
        <v>5</v>
      </c>
      <c r="I23" s="3" t="s">
        <v>60</v>
      </c>
      <c r="J23" s="25" t="s">
        <v>59</v>
      </c>
      <c r="K23" s="26">
        <v>0.16</v>
      </c>
      <c r="L23" s="24" t="s">
        <v>0</v>
      </c>
      <c r="T23" s="45" t="s">
        <v>91</v>
      </c>
    </row>
    <row r="25" spans="1:3" ht="15">
      <c r="A25" t="s">
        <v>155</v>
      </c>
      <c r="B25" s="1">
        <f>2*(K11*K10+K12*K10)</f>
        <v>2.6399999999999997</v>
      </c>
      <c r="C25" s="1" t="s">
        <v>5</v>
      </c>
    </row>
    <row r="26" spans="1:12" ht="15">
      <c r="A26" t="s">
        <v>152</v>
      </c>
      <c r="B26" s="1">
        <f>2*K13*K11+2*K12*K13+2*N11*K13+2*N12*K13</f>
        <v>33.44</v>
      </c>
      <c r="C26" s="1" t="s">
        <v>5</v>
      </c>
      <c r="L26" s="18"/>
    </row>
    <row r="27" spans="1:3" ht="15">
      <c r="A27" t="s">
        <v>153</v>
      </c>
      <c r="B27" s="1">
        <f>K11*K12-3.14*K19^2/4+2*(K11+K12)*K15+3.14*K19*K15</f>
        <v>7.627000000000001</v>
      </c>
      <c r="C27" s="1" t="s">
        <v>5</v>
      </c>
    </row>
    <row r="28" ht="15">
      <c r="B28" s="1"/>
    </row>
    <row r="29" spans="1:3" ht="15">
      <c r="A29" t="s">
        <v>173</v>
      </c>
      <c r="B29">
        <v>7</v>
      </c>
      <c r="C29" s="1" t="s">
        <v>70</v>
      </c>
    </row>
    <row r="30" spans="1:3" ht="15">
      <c r="A30" t="s">
        <v>230</v>
      </c>
      <c r="B30">
        <v>1</v>
      </c>
      <c r="C30" s="1" t="s">
        <v>70</v>
      </c>
    </row>
    <row r="31" spans="1:4" ht="15">
      <c r="A31" t="s">
        <v>236</v>
      </c>
      <c r="B31">
        <v>3</v>
      </c>
      <c r="C31" s="1" t="s">
        <v>0</v>
      </c>
      <c r="D31" s="1" t="s">
        <v>239</v>
      </c>
    </row>
    <row r="32" spans="1:4" ht="15">
      <c r="A32" t="s">
        <v>233</v>
      </c>
      <c r="B32">
        <v>2</v>
      </c>
      <c r="C32" s="1" t="s">
        <v>0</v>
      </c>
      <c r="D32" s="65" t="s">
        <v>255</v>
      </c>
    </row>
    <row r="33" spans="1:5" ht="15">
      <c r="A33" t="s">
        <v>97</v>
      </c>
      <c r="B33">
        <v>1</v>
      </c>
      <c r="C33" s="1" t="s">
        <v>70</v>
      </c>
      <c r="E33" s="65" t="s">
        <v>256</v>
      </c>
    </row>
    <row r="34" spans="1:3" ht="15">
      <c r="A34" t="s">
        <v>231</v>
      </c>
      <c r="B34">
        <v>1</v>
      </c>
      <c r="C34" s="1" t="s">
        <v>70</v>
      </c>
    </row>
    <row r="36" ht="15">
      <c r="A36" s="3" t="s">
        <v>143</v>
      </c>
    </row>
    <row r="37" spans="1:15" ht="15">
      <c r="A37" s="41" t="s">
        <v>87</v>
      </c>
      <c r="B37" s="24">
        <v>1</v>
      </c>
      <c r="C37" s="24" t="s">
        <v>0</v>
      </c>
      <c r="D37" s="24">
        <v>1</v>
      </c>
      <c r="E37" s="23" t="s">
        <v>88</v>
      </c>
      <c r="H37" s="19" t="s">
        <v>92</v>
      </c>
      <c r="I37" s="7" t="s">
        <v>93</v>
      </c>
      <c r="K37" s="1">
        <f>3.14*(1+N37*2)^2/4*B37</f>
        <v>1.207016</v>
      </c>
      <c r="L37" t="s">
        <v>2</v>
      </c>
      <c r="M37" s="24" t="s">
        <v>94</v>
      </c>
      <c r="N37" s="24">
        <v>0.12</v>
      </c>
      <c r="O37" s="24" t="s">
        <v>0</v>
      </c>
    </row>
    <row r="38" spans="1:15" ht="15">
      <c r="A38" s="41" t="s">
        <v>89</v>
      </c>
      <c r="B38" s="24">
        <v>0.58</v>
      </c>
      <c r="C38" s="24" t="s">
        <v>0</v>
      </c>
      <c r="D38" s="24">
        <v>1</v>
      </c>
      <c r="E38" s="23" t="s">
        <v>88</v>
      </c>
      <c r="K38" s="1">
        <f>1/12*3.14*B38*((1+2*N38)^2+(1+2*N38)*(0.625+2*N38)+(0.625+2*N38)^2)</f>
        <v>0.5096969674999999</v>
      </c>
      <c r="L38" t="s">
        <v>2</v>
      </c>
      <c r="M38" s="24" t="s">
        <v>94</v>
      </c>
      <c r="N38" s="24">
        <v>0.12</v>
      </c>
      <c r="O38" s="24" t="s">
        <v>0</v>
      </c>
    </row>
    <row r="39" spans="1:15" ht="15">
      <c r="A39" s="57" t="s">
        <v>167</v>
      </c>
      <c r="B39" s="62">
        <v>0.12</v>
      </c>
      <c r="C39" s="62" t="s">
        <v>0</v>
      </c>
      <c r="D39" s="24">
        <v>2</v>
      </c>
      <c r="E39" s="23" t="s">
        <v>88</v>
      </c>
      <c r="K39" s="31">
        <f>3.14*(0.625+2*N39)^2/4*B39</f>
        <v>0.06411487499999999</v>
      </c>
      <c r="L39" s="32" t="s">
        <v>2</v>
      </c>
      <c r="M39" s="24" t="s">
        <v>94</v>
      </c>
      <c r="N39" s="24">
        <v>0.1</v>
      </c>
      <c r="O39" s="24" t="s">
        <v>0</v>
      </c>
    </row>
    <row r="40" spans="1:12" ht="15">
      <c r="A40" s="59" t="s">
        <v>90</v>
      </c>
      <c r="B40" s="60">
        <f>G40+B37*D37+B38*D38+B39*D39</f>
        <v>1.89</v>
      </c>
      <c r="C40" s="61" t="s">
        <v>0</v>
      </c>
      <c r="F40" s="59" t="s">
        <v>254</v>
      </c>
      <c r="G40" s="60">
        <v>0.07</v>
      </c>
      <c r="H40" s="61" t="s">
        <v>0</v>
      </c>
      <c r="J40" s="6" t="s">
        <v>95</v>
      </c>
      <c r="K40" s="46">
        <f>3.14*0.625^2/4*K23</f>
        <v>0.0490625</v>
      </c>
      <c r="L40" s="4" t="s">
        <v>2</v>
      </c>
    </row>
    <row r="41" spans="10:19" ht="15">
      <c r="J41" s="6" t="s">
        <v>90</v>
      </c>
      <c r="K41" s="44">
        <f>K37*D37+K38*D38+K39*D39+K40</f>
        <v>1.8940052175</v>
      </c>
      <c r="L41" s="43" t="s">
        <v>2</v>
      </c>
      <c r="Q41" s="58" t="s">
        <v>144</v>
      </c>
      <c r="R41" s="45">
        <f>K21-B40</f>
        <v>-1.0658141036401503E-14</v>
      </c>
      <c r="S41" s="43" t="s">
        <v>0</v>
      </c>
    </row>
    <row r="42" spans="1:3" ht="15">
      <c r="A42" t="s">
        <v>71</v>
      </c>
      <c r="B42">
        <f>N11</f>
        <v>1.5</v>
      </c>
      <c r="C42" s="1" t="s">
        <v>0</v>
      </c>
    </row>
    <row r="43" ht="15">
      <c r="A43" s="77" t="s">
        <v>269</v>
      </c>
    </row>
    <row r="44" ht="15">
      <c r="A44" s="77" t="s">
        <v>265</v>
      </c>
    </row>
    <row r="45" spans="1:2" ht="15">
      <c r="A45" t="s">
        <v>72</v>
      </c>
      <c r="B45" s="5" t="s">
        <v>274</v>
      </c>
    </row>
    <row r="46" ht="15">
      <c r="A46" s="75" t="s">
        <v>176</v>
      </c>
    </row>
    <row r="47" ht="15">
      <c r="A47" s="14" t="s">
        <v>238</v>
      </c>
    </row>
    <row r="48" ht="15">
      <c r="A48" s="76" t="s">
        <v>237</v>
      </c>
    </row>
  </sheetData>
  <hyperlinks>
    <hyperlink ref="A48" r:id="rId1" display="https://www.buesch.com/uploads/media/buesch-mas-ovl--dac---sada-2-cs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0"/>
  <sheetViews>
    <sheetView view="pageBreakPreview" zoomScaleSheetLayoutView="100" workbookViewId="0" topLeftCell="A1">
      <selection activeCell="C44" sqref="C44"/>
    </sheetView>
  </sheetViews>
  <sheetFormatPr defaultColWidth="9.140625" defaultRowHeight="15"/>
  <cols>
    <col min="1" max="1" width="44.28125" style="0" customWidth="1"/>
    <col min="3" max="5" width="8.8515625" style="1" customWidth="1"/>
  </cols>
  <sheetData>
    <row r="1" ht="15">
      <c r="A1" s="33" t="s">
        <v>142</v>
      </c>
    </row>
    <row r="2" spans="1:20" ht="15">
      <c r="A2" t="s">
        <v>33</v>
      </c>
      <c r="B2" s="1"/>
      <c r="C2"/>
      <c r="J2" s="3"/>
      <c r="K2" s="24" t="s">
        <v>103</v>
      </c>
      <c r="L2" s="24"/>
      <c r="O2" s="48" t="s">
        <v>100</v>
      </c>
      <c r="P2" s="48">
        <v>59.5</v>
      </c>
      <c r="Q2" s="49" t="s">
        <v>2</v>
      </c>
      <c r="S2" s="34"/>
      <c r="T2" s="34"/>
    </row>
    <row r="3" spans="1:20" ht="15">
      <c r="A3" s="21" t="s">
        <v>99</v>
      </c>
      <c r="B3" s="1">
        <f>K6*K7*K3</f>
        <v>2.4960000000000004</v>
      </c>
      <c r="C3" t="s">
        <v>2</v>
      </c>
      <c r="D3" s="1">
        <f>K6*K7</f>
        <v>12.480000000000002</v>
      </c>
      <c r="E3" t="s">
        <v>5</v>
      </c>
      <c r="J3" s="3" t="s">
        <v>98</v>
      </c>
      <c r="K3" s="24">
        <v>0.2</v>
      </c>
      <c r="L3" s="24" t="s">
        <v>0</v>
      </c>
      <c r="O3" s="48" t="s">
        <v>101</v>
      </c>
      <c r="P3" s="48">
        <f>59.5-52.4</f>
        <v>7.100000000000001</v>
      </c>
      <c r="Q3" s="49" t="s">
        <v>2</v>
      </c>
      <c r="S3" s="34"/>
      <c r="T3" s="35"/>
    </row>
    <row r="4" spans="1:20" ht="15">
      <c r="A4" s="21" t="s">
        <v>34</v>
      </c>
      <c r="B4" s="1">
        <f>((K5+K4)/2-K3)*K6*K7</f>
        <v>43.9296</v>
      </c>
      <c r="C4" t="s">
        <v>2</v>
      </c>
      <c r="D4" s="2"/>
      <c r="J4" s="3" t="s">
        <v>4</v>
      </c>
      <c r="K4" s="47">
        <v>2.72</v>
      </c>
      <c r="L4" s="24" t="s">
        <v>0</v>
      </c>
      <c r="O4" s="6"/>
      <c r="P4" s="7"/>
      <c r="Q4" s="7"/>
      <c r="S4" s="36"/>
      <c r="T4" s="37"/>
    </row>
    <row r="5" spans="4:20" ht="15">
      <c r="D5" s="2"/>
      <c r="J5" t="s">
        <v>104</v>
      </c>
      <c r="K5" s="47">
        <v>4.72</v>
      </c>
      <c r="L5" s="24" t="s">
        <v>0</v>
      </c>
      <c r="M5" s="7"/>
      <c r="O5" s="40"/>
      <c r="P5" s="10"/>
      <c r="Q5" s="7"/>
      <c r="S5" s="36"/>
      <c r="T5" s="37"/>
    </row>
    <row r="6" spans="1:20" ht="15">
      <c r="A6" t="s">
        <v>40</v>
      </c>
      <c r="B6" s="1">
        <f>0.1*K8*K9</f>
        <v>0.54</v>
      </c>
      <c r="C6" t="s">
        <v>2</v>
      </c>
      <c r="D6" s="2"/>
      <c r="I6" s="3" t="s">
        <v>84</v>
      </c>
      <c r="J6" s="25" t="s">
        <v>45</v>
      </c>
      <c r="K6" s="24">
        <f>2+2*0.6</f>
        <v>3.2</v>
      </c>
      <c r="L6" s="24" t="s">
        <v>0</v>
      </c>
      <c r="O6" s="6"/>
      <c r="P6" s="7"/>
      <c r="Q6" s="7"/>
      <c r="S6" s="36"/>
      <c r="T6" s="37"/>
    </row>
    <row r="7" spans="1:20" ht="13.8" customHeight="1">
      <c r="A7" t="s">
        <v>41</v>
      </c>
      <c r="B7" s="1">
        <f>K11*K12*K10</f>
        <v>1.3499999999999999</v>
      </c>
      <c r="C7" t="s">
        <v>2</v>
      </c>
      <c r="J7" s="25" t="s">
        <v>46</v>
      </c>
      <c r="K7" s="24">
        <f>2.7+2*0.6</f>
        <v>3.9000000000000004</v>
      </c>
      <c r="L7" s="24" t="s">
        <v>0</v>
      </c>
      <c r="M7" s="9"/>
      <c r="S7" s="36"/>
      <c r="T7" s="37"/>
    </row>
    <row r="8" spans="1:20" ht="15">
      <c r="A8" t="s">
        <v>50</v>
      </c>
      <c r="B8" s="1">
        <f>2*N11*K16*K17+K12*K16*K17+K12*(K17+(K17+K15*K14))/2*K15+K12*(K16-K15)*K17-3.14*K20^2/4*(K17+(R14-(K22+I20*0.001/2)*K14))</f>
        <v>7.5173676600000015</v>
      </c>
      <c r="C8" t="s">
        <v>2</v>
      </c>
      <c r="I8" s="3" t="s">
        <v>38</v>
      </c>
      <c r="J8" s="25" t="s">
        <v>45</v>
      </c>
      <c r="K8" s="24">
        <v>2</v>
      </c>
      <c r="L8" s="24" t="s">
        <v>0</v>
      </c>
      <c r="M8" s="9"/>
      <c r="S8" s="36"/>
      <c r="T8" s="37"/>
    </row>
    <row r="9" spans="1:13" ht="15">
      <c r="A9" t="s">
        <v>51</v>
      </c>
      <c r="B9" s="1">
        <f>((K11-K15*K14)*K12-K24*K25-K26*K27)*K18</f>
        <v>0.8280000000000002</v>
      </c>
      <c r="C9" t="s">
        <v>2</v>
      </c>
      <c r="J9" s="25" t="s">
        <v>46</v>
      </c>
      <c r="K9" s="24">
        <v>2.7</v>
      </c>
      <c r="L9" s="24" t="s">
        <v>0</v>
      </c>
      <c r="M9" s="9"/>
    </row>
    <row r="10" spans="8:20" ht="15">
      <c r="H10" t="s">
        <v>39</v>
      </c>
      <c r="I10" s="3" t="s">
        <v>96</v>
      </c>
      <c r="J10" s="25" t="s">
        <v>47</v>
      </c>
      <c r="K10" s="24">
        <v>0.3</v>
      </c>
      <c r="L10" s="24" t="s">
        <v>0</v>
      </c>
      <c r="M10" s="9"/>
      <c r="N10" s="9"/>
      <c r="O10" s="9"/>
      <c r="T10" s="38"/>
    </row>
    <row r="11" spans="1:15" ht="15">
      <c r="A11" t="s">
        <v>175</v>
      </c>
      <c r="B11" s="1">
        <f>E11*E12</f>
        <v>23.572</v>
      </c>
      <c r="C11" s="1" t="s">
        <v>5</v>
      </c>
      <c r="D11" s="36" t="s">
        <v>164</v>
      </c>
      <c r="E11" s="37">
        <f>K7+K6</f>
        <v>7.1000000000000005</v>
      </c>
      <c r="F11" s="37" t="s">
        <v>0</v>
      </c>
      <c r="J11" s="25" t="s">
        <v>46</v>
      </c>
      <c r="K11" s="26">
        <f>2.7-2*0.1</f>
        <v>2.5</v>
      </c>
      <c r="L11" s="24" t="s">
        <v>0</v>
      </c>
      <c r="M11" s="9" t="s">
        <v>105</v>
      </c>
      <c r="N11" s="6">
        <v>1.6</v>
      </c>
      <c r="O11" s="10" t="s">
        <v>0</v>
      </c>
    </row>
    <row r="12" spans="1:15" ht="15">
      <c r="A12" s="21" t="s">
        <v>163</v>
      </c>
      <c r="B12" s="1">
        <f>B11*2</f>
        <v>47.144</v>
      </c>
      <c r="C12" s="1" t="s">
        <v>5</v>
      </c>
      <c r="D12" s="36" t="s">
        <v>108</v>
      </c>
      <c r="E12" s="37">
        <f>K5-1.4</f>
        <v>3.32</v>
      </c>
      <c r="F12" s="37" t="s">
        <v>0</v>
      </c>
      <c r="J12" s="25" t="s">
        <v>45</v>
      </c>
      <c r="K12" s="26">
        <f>K8-2*0.1</f>
        <v>1.8</v>
      </c>
      <c r="L12" s="24" t="s">
        <v>0</v>
      </c>
      <c r="M12" s="9"/>
      <c r="N12" s="6">
        <v>1.2</v>
      </c>
      <c r="O12" s="10" t="s">
        <v>0</v>
      </c>
    </row>
    <row r="13" spans="5:15" ht="15">
      <c r="E13" s="20"/>
      <c r="I13" s="3" t="s">
        <v>12</v>
      </c>
      <c r="J13" s="25"/>
      <c r="K13" s="26"/>
      <c r="L13" s="24"/>
      <c r="M13" s="9"/>
      <c r="N13" s="6"/>
      <c r="O13" s="10"/>
    </row>
    <row r="14" spans="1:19" ht="15">
      <c r="A14" t="s">
        <v>116</v>
      </c>
      <c r="B14" s="1">
        <f>(K11-P14)*K12*(B15+B16)/2+P14*K12*B16</f>
        <v>13.742999999999999</v>
      </c>
      <c r="C14" t="s">
        <v>2</v>
      </c>
      <c r="I14" s="3" t="s">
        <v>106</v>
      </c>
      <c r="J14" s="50" t="s">
        <v>107</v>
      </c>
      <c r="K14" s="26">
        <v>0.1</v>
      </c>
      <c r="L14" s="24"/>
      <c r="M14" s="52" t="s">
        <v>92</v>
      </c>
      <c r="N14" s="10" t="s">
        <v>128</v>
      </c>
      <c r="O14" s="6"/>
      <c r="P14" s="10">
        <f>K15*K14</f>
        <v>0.30000000000000004</v>
      </c>
      <c r="Q14" s="7" t="s">
        <v>129</v>
      </c>
      <c r="R14" s="7">
        <f>P14+K17</f>
        <v>0.6000000000000001</v>
      </c>
      <c r="S14" s="7" t="s">
        <v>0</v>
      </c>
    </row>
    <row r="15" spans="1:15" ht="15">
      <c r="A15" s="48" t="s">
        <v>138</v>
      </c>
      <c r="B15" s="55">
        <v>2.69</v>
      </c>
      <c r="C15" s="49" t="s">
        <v>2</v>
      </c>
      <c r="E15" s="13"/>
      <c r="F15" s="1"/>
      <c r="I15" s="3" t="s">
        <v>108</v>
      </c>
      <c r="J15" s="25" t="s">
        <v>110</v>
      </c>
      <c r="K15" s="24">
        <v>3</v>
      </c>
      <c r="L15" s="24" t="s">
        <v>0</v>
      </c>
      <c r="M15" s="9"/>
      <c r="N15" s="9"/>
      <c r="O15" s="9"/>
    </row>
    <row r="16" spans="1:14" ht="15">
      <c r="A16" s="48" t="s">
        <v>139</v>
      </c>
      <c r="B16" s="48">
        <v>3.34</v>
      </c>
      <c r="C16" s="49" t="s">
        <v>2</v>
      </c>
      <c r="I16" s="3" t="s">
        <v>109</v>
      </c>
      <c r="J16" s="25" t="s">
        <v>48</v>
      </c>
      <c r="K16" s="24">
        <v>3.5</v>
      </c>
      <c r="L16" s="24" t="s">
        <v>0</v>
      </c>
      <c r="M16" s="9"/>
      <c r="N16" s="9"/>
    </row>
    <row r="17" spans="1:14" ht="15">
      <c r="A17" t="s">
        <v>117</v>
      </c>
      <c r="B17" s="1">
        <f>B4-B14</f>
        <v>30.186600000000002</v>
      </c>
      <c r="C17" t="s">
        <v>2</v>
      </c>
      <c r="I17" s="3" t="s">
        <v>52</v>
      </c>
      <c r="J17" s="25" t="s">
        <v>47</v>
      </c>
      <c r="K17" s="24">
        <v>0.3</v>
      </c>
      <c r="L17" s="24" t="s">
        <v>0</v>
      </c>
      <c r="M17" s="9"/>
      <c r="N17" s="9"/>
    </row>
    <row r="18" spans="9:15" ht="15">
      <c r="I18" s="3" t="s">
        <v>42</v>
      </c>
      <c r="J18" s="25" t="s">
        <v>47</v>
      </c>
      <c r="K18" s="24">
        <v>0.3</v>
      </c>
      <c r="L18" s="24" t="s">
        <v>0</v>
      </c>
      <c r="O18" s="9"/>
    </row>
    <row r="19" spans="1:4" ht="15">
      <c r="A19" s="11" t="s">
        <v>118</v>
      </c>
      <c r="B19" s="12">
        <f>D3-(K11-P14)*K12</f>
        <v>8.520000000000001</v>
      </c>
      <c r="C19" s="1" t="s">
        <v>5</v>
      </c>
      <c r="D19" s="7"/>
    </row>
    <row r="20" spans="1:14" ht="15">
      <c r="A20" s="21"/>
      <c r="D20" s="7"/>
      <c r="H20" s="25" t="s">
        <v>53</v>
      </c>
      <c r="I20" s="25">
        <v>600</v>
      </c>
      <c r="J20" s="3" t="s">
        <v>54</v>
      </c>
      <c r="K20" s="3">
        <f>I20*0.001+2*K21</f>
        <v>0.8099999999999999</v>
      </c>
      <c r="L20" t="s">
        <v>0</v>
      </c>
      <c r="N20" s="10" t="s">
        <v>131</v>
      </c>
    </row>
    <row r="21" spans="1:16" ht="15">
      <c r="A21" t="s">
        <v>155</v>
      </c>
      <c r="B21" s="1">
        <f>2*(K11*K10+K12*K10)</f>
        <v>2.58</v>
      </c>
      <c r="C21" s="1" t="s">
        <v>5</v>
      </c>
      <c r="J21" s="25" t="s">
        <v>130</v>
      </c>
      <c r="K21" s="24">
        <v>0.105</v>
      </c>
      <c r="L21" s="24" t="s">
        <v>0</v>
      </c>
      <c r="M21" s="7"/>
      <c r="N21" s="19" t="s">
        <v>132</v>
      </c>
      <c r="O21" s="19">
        <v>0.07</v>
      </c>
      <c r="P21" s="53" t="s">
        <v>0</v>
      </c>
    </row>
    <row r="22" spans="1:16" ht="15">
      <c r="A22" t="s">
        <v>152</v>
      </c>
      <c r="B22" s="1">
        <f>2*K16*K11+2*K12*K16+2*N11*K16+2*N12*K16</f>
        <v>49.7</v>
      </c>
      <c r="C22" s="1" t="s">
        <v>5</v>
      </c>
      <c r="J22" s="25" t="s">
        <v>137</v>
      </c>
      <c r="K22" s="24">
        <v>0.3</v>
      </c>
      <c r="L22" s="24" t="s">
        <v>0</v>
      </c>
      <c r="M22" s="7"/>
      <c r="N22" s="19" t="s">
        <v>133</v>
      </c>
      <c r="O22" s="19">
        <v>0.08</v>
      </c>
      <c r="P22" s="53" t="s">
        <v>0</v>
      </c>
    </row>
    <row r="23" spans="1:16" ht="15">
      <c r="A23" t="s">
        <v>153</v>
      </c>
      <c r="B23" s="1">
        <f>(K11-P14)*K12-K24*K25-K26*K27+2*((K11-P14)+K12)*K18+2*(K24+K25)+2*(K26+K27)</f>
        <v>11.559999999999999</v>
      </c>
      <c r="C23" s="1" t="s">
        <v>5</v>
      </c>
      <c r="N23" s="19" t="s">
        <v>134</v>
      </c>
      <c r="O23" s="19">
        <v>0.085</v>
      </c>
      <c r="P23" s="53" t="s">
        <v>0</v>
      </c>
    </row>
    <row r="24" spans="2:16" ht="15">
      <c r="B24" s="1"/>
      <c r="I24" s="3" t="s">
        <v>115</v>
      </c>
      <c r="J24" s="25" t="s">
        <v>111</v>
      </c>
      <c r="K24" s="26">
        <v>0.6</v>
      </c>
      <c r="L24" s="24" t="s">
        <v>0</v>
      </c>
      <c r="N24" s="19" t="s">
        <v>135</v>
      </c>
      <c r="O24" s="19">
        <v>0.105</v>
      </c>
      <c r="P24" s="53" t="s">
        <v>0</v>
      </c>
    </row>
    <row r="25" spans="1:16" ht="15">
      <c r="A25" t="s">
        <v>119</v>
      </c>
      <c r="B25">
        <v>1</v>
      </c>
      <c r="C25" s="1" t="s">
        <v>70</v>
      </c>
      <c r="J25" s="25" t="s">
        <v>112</v>
      </c>
      <c r="K25" s="26">
        <v>0.8</v>
      </c>
      <c r="L25" s="24" t="s">
        <v>0</v>
      </c>
      <c r="N25" s="19" t="s">
        <v>136</v>
      </c>
      <c r="O25" s="19">
        <v>0.15</v>
      </c>
      <c r="P25" s="53" t="s">
        <v>0</v>
      </c>
    </row>
    <row r="26" spans="1:12" ht="15">
      <c r="A26" t="s">
        <v>120</v>
      </c>
      <c r="B26">
        <v>1</v>
      </c>
      <c r="C26" s="1" t="s">
        <v>70</v>
      </c>
      <c r="I26" s="3"/>
      <c r="J26" s="25" t="s">
        <v>113</v>
      </c>
      <c r="K26" s="26">
        <v>0.6</v>
      </c>
      <c r="L26" s="24" t="s">
        <v>0</v>
      </c>
    </row>
    <row r="27" spans="1:12" ht="15">
      <c r="A27" t="s">
        <v>173</v>
      </c>
      <c r="B27">
        <v>12</v>
      </c>
      <c r="C27" s="1" t="s">
        <v>70</v>
      </c>
      <c r="J27" s="25" t="s">
        <v>114</v>
      </c>
      <c r="K27" s="26">
        <v>1.2</v>
      </c>
      <c r="L27" s="24" t="s">
        <v>0</v>
      </c>
    </row>
    <row r="28" spans="1:3" ht="15">
      <c r="A28" t="s">
        <v>121</v>
      </c>
      <c r="B28" s="21" t="s">
        <v>122</v>
      </c>
      <c r="C28" s="2"/>
    </row>
    <row r="29" spans="1:14" ht="15">
      <c r="A29" t="s">
        <v>124</v>
      </c>
      <c r="B29" s="3">
        <f>2*K31</f>
        <v>6.8999999999999995</v>
      </c>
      <c r="C29" s="1" t="s">
        <v>5</v>
      </c>
      <c r="I29" s="3" t="s">
        <v>125</v>
      </c>
      <c r="J29" s="25" t="s">
        <v>14</v>
      </c>
      <c r="K29" s="26">
        <v>1.15</v>
      </c>
      <c r="L29" s="24" t="s">
        <v>0</v>
      </c>
      <c r="N29" s="54"/>
    </row>
    <row r="30" spans="10:15" ht="15">
      <c r="J30" s="25" t="s">
        <v>123</v>
      </c>
      <c r="K30" s="51" t="s">
        <v>127</v>
      </c>
      <c r="L30" s="24"/>
      <c r="M30" s="6"/>
      <c r="O30" s="7"/>
    </row>
    <row r="31" spans="1:15" ht="15">
      <c r="A31" t="s">
        <v>71</v>
      </c>
      <c r="B31">
        <f>N11</f>
        <v>1.6</v>
      </c>
      <c r="C31" s="1" t="s">
        <v>0</v>
      </c>
      <c r="J31" s="25" t="s">
        <v>126</v>
      </c>
      <c r="K31" s="26">
        <f>K29*3</f>
        <v>3.4499999999999997</v>
      </c>
      <c r="L31" s="24" t="s">
        <v>5</v>
      </c>
      <c r="N31" s="7"/>
      <c r="O31" s="7"/>
    </row>
    <row r="33" spans="1:3" ht="15">
      <c r="A33" t="s">
        <v>240</v>
      </c>
      <c r="B33">
        <v>2</v>
      </c>
      <c r="C33" s="1" t="s">
        <v>241</v>
      </c>
    </row>
    <row r="34" ht="15">
      <c r="A34" t="s">
        <v>168</v>
      </c>
    </row>
    <row r="35" spans="1:3" ht="15">
      <c r="A35" s="77" t="s">
        <v>245</v>
      </c>
      <c r="B35" s="77">
        <f>(K6-2*0.25)*2+(K7-2*0.25)*2</f>
        <v>12.200000000000001</v>
      </c>
      <c r="C35" s="66" t="s">
        <v>0</v>
      </c>
    </row>
    <row r="36" spans="1:2" ht="15">
      <c r="A36" t="s">
        <v>140</v>
      </c>
      <c r="B36" s="3"/>
    </row>
    <row r="37" spans="1:3" ht="15">
      <c r="A37" s="21" t="s">
        <v>442</v>
      </c>
      <c r="B37" s="56">
        <v>9</v>
      </c>
      <c r="C37" t="s">
        <v>0</v>
      </c>
    </row>
    <row r="38" spans="1:3" ht="15" hidden="1">
      <c r="A38" s="112" t="s">
        <v>141</v>
      </c>
      <c r="B38" s="113">
        <v>7</v>
      </c>
      <c r="C38" s="114" t="s">
        <v>0</v>
      </c>
    </row>
    <row r="40" spans="1:2" ht="15">
      <c r="A40" t="s">
        <v>72</v>
      </c>
      <c r="B40" s="5" t="s">
        <v>274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4"/>
  <sheetViews>
    <sheetView view="pageBreakPreview" zoomScaleSheetLayoutView="100" workbookViewId="0" topLeftCell="A1">
      <selection activeCell="H35" sqref="H35"/>
    </sheetView>
  </sheetViews>
  <sheetFormatPr defaultColWidth="9.140625" defaultRowHeight="15"/>
  <cols>
    <col min="1" max="1" width="45.8515625" style="0" customWidth="1"/>
    <col min="3" max="5" width="8.8515625" style="1" customWidth="1"/>
  </cols>
  <sheetData>
    <row r="1" ht="15">
      <c r="A1" s="33" t="s">
        <v>266</v>
      </c>
    </row>
    <row r="2" spans="1:12" ht="15">
      <c r="A2" t="s">
        <v>33</v>
      </c>
      <c r="B2" s="1"/>
      <c r="C2"/>
      <c r="J2" s="3" t="s">
        <v>35</v>
      </c>
      <c r="K2" s="24">
        <v>0</v>
      </c>
      <c r="L2" s="24"/>
    </row>
    <row r="3" spans="1:17" ht="15">
      <c r="A3" s="21" t="s">
        <v>34</v>
      </c>
      <c r="B3" s="1">
        <f>(K6+2*K3)*(K7+2*K3)*(K5-K4)</f>
        <v>111.43799999999995</v>
      </c>
      <c r="C3" t="s">
        <v>2</v>
      </c>
      <c r="D3" s="95"/>
      <c r="E3" s="34"/>
      <c r="J3" t="s">
        <v>36</v>
      </c>
      <c r="K3" s="24">
        <v>0.2</v>
      </c>
      <c r="L3" s="24" t="s">
        <v>0</v>
      </c>
      <c r="O3" s="6"/>
      <c r="P3" s="7"/>
      <c r="Q3" s="7"/>
    </row>
    <row r="4" spans="4:17" ht="15">
      <c r="D4" s="34"/>
      <c r="E4" s="35"/>
      <c r="J4" s="3" t="s">
        <v>37</v>
      </c>
      <c r="K4" s="24">
        <f>0.04+0.07+0.15+0.15</f>
        <v>0.41000000000000003</v>
      </c>
      <c r="L4" s="24" t="s">
        <v>0</v>
      </c>
      <c r="M4" s="29"/>
      <c r="N4" s="29"/>
      <c r="O4" s="29"/>
      <c r="P4" s="29"/>
      <c r="Q4" s="7"/>
    </row>
    <row r="5" spans="1:17" ht="15">
      <c r="A5" t="s">
        <v>40</v>
      </c>
      <c r="B5" s="66">
        <f>0.1*K8*K9</f>
        <v>2.072</v>
      </c>
      <c r="C5" t="s">
        <v>2</v>
      </c>
      <c r="D5" s="36"/>
      <c r="E5" s="37"/>
      <c r="J5" s="3" t="s">
        <v>4</v>
      </c>
      <c r="K5" s="39">
        <f>211.26-206.32</f>
        <v>4.939999999999998</v>
      </c>
      <c r="L5" s="24" t="s">
        <v>0</v>
      </c>
      <c r="M5" s="7" t="s">
        <v>85</v>
      </c>
      <c r="O5" s="40">
        <f>K5-K4</f>
        <v>4.529999999999998</v>
      </c>
      <c r="P5" s="10" t="s">
        <v>0</v>
      </c>
      <c r="Q5" s="7"/>
    </row>
    <row r="6" spans="1:17" ht="15">
      <c r="A6" t="s">
        <v>41</v>
      </c>
      <c r="B6" s="1">
        <f>K11*K12*K10</f>
        <v>2.418</v>
      </c>
      <c r="C6" t="s">
        <v>2</v>
      </c>
      <c r="D6" s="36"/>
      <c r="E6" s="37"/>
      <c r="I6" s="3" t="s">
        <v>84</v>
      </c>
      <c r="J6" s="25" t="s">
        <v>45</v>
      </c>
      <c r="K6" s="24">
        <f>K12+0.1+1</f>
        <v>3.7</v>
      </c>
      <c r="L6" s="24" t="s">
        <v>0</v>
      </c>
      <c r="O6" s="6"/>
      <c r="P6" s="7"/>
      <c r="Q6" s="7"/>
    </row>
    <row r="7" spans="1:15" ht="13.8" customHeight="1">
      <c r="A7" t="s">
        <v>50</v>
      </c>
      <c r="B7" s="1">
        <f>2*K11*K13*K14+2*(K12-2*K14)*K13*K14-2*3.14*K17^2/4*K14</f>
        <v>7.034976899999999</v>
      </c>
      <c r="C7" t="s">
        <v>2</v>
      </c>
      <c r="D7" s="36"/>
      <c r="E7" s="37"/>
      <c r="J7" s="25" t="s">
        <v>46</v>
      </c>
      <c r="K7" s="24">
        <f>K11+1+1.5</f>
        <v>5.6</v>
      </c>
      <c r="L7" s="24" t="s">
        <v>0</v>
      </c>
      <c r="M7" s="9"/>
      <c r="N7" s="9"/>
      <c r="O7" s="3" t="s">
        <v>61</v>
      </c>
    </row>
    <row r="8" spans="1:17" ht="15">
      <c r="A8" t="s">
        <v>51</v>
      </c>
      <c r="B8" s="1">
        <f>(K11*K12-3.14*K19^2/4)*K15</f>
        <v>2.1825</v>
      </c>
      <c r="C8" t="s">
        <v>2</v>
      </c>
      <c r="D8" s="36"/>
      <c r="E8" s="37"/>
      <c r="I8" s="3" t="s">
        <v>38</v>
      </c>
      <c r="J8" s="25" t="s">
        <v>45</v>
      </c>
      <c r="K8" s="24">
        <f>K6</f>
        <v>3.7</v>
      </c>
      <c r="L8" s="24" t="s">
        <v>0</v>
      </c>
      <c r="M8" s="9"/>
      <c r="O8" s="3" t="s">
        <v>62</v>
      </c>
      <c r="P8" s="25">
        <v>0.2</v>
      </c>
      <c r="Q8" s="24" t="s">
        <v>0</v>
      </c>
    </row>
    <row r="9" spans="1:17" ht="15">
      <c r="A9" t="s">
        <v>174</v>
      </c>
      <c r="B9" s="1">
        <f>N11*N12*(P8+P9)-(3.14*(P9^2/4)/2)*N11</f>
        <v>2.4116875</v>
      </c>
      <c r="C9" t="s">
        <v>2</v>
      </c>
      <c r="D9" s="36"/>
      <c r="E9" s="37"/>
      <c r="J9" s="25" t="s">
        <v>46</v>
      </c>
      <c r="K9" s="24">
        <f>K7</f>
        <v>5.6</v>
      </c>
      <c r="L9" s="24" t="s">
        <v>0</v>
      </c>
      <c r="M9" s="9"/>
      <c r="O9" s="22" t="s">
        <v>63</v>
      </c>
      <c r="P9" s="28">
        <f>I17*0.001/2</f>
        <v>0.3</v>
      </c>
      <c r="Q9" s="29" t="s">
        <v>0</v>
      </c>
    </row>
    <row r="10" spans="8:20" ht="15">
      <c r="H10" t="s">
        <v>39</v>
      </c>
      <c r="I10" s="3" t="s">
        <v>96</v>
      </c>
      <c r="J10" s="25" t="s">
        <v>47</v>
      </c>
      <c r="K10" s="24">
        <v>0.3</v>
      </c>
      <c r="L10" s="24" t="s">
        <v>0</v>
      </c>
      <c r="M10" s="9"/>
      <c r="N10" s="9"/>
      <c r="O10" s="9"/>
      <c r="T10" s="38"/>
    </row>
    <row r="11" spans="1:15" ht="15">
      <c r="A11" t="s">
        <v>162</v>
      </c>
      <c r="B11" s="1">
        <f>(2*K6+2*K7)*E11</f>
        <v>61.19399999999997</v>
      </c>
      <c r="C11" s="1" t="s">
        <v>5</v>
      </c>
      <c r="D11" s="36" t="s">
        <v>177</v>
      </c>
      <c r="E11" s="37">
        <f>K5-1.65</f>
        <v>3.289999999999998</v>
      </c>
      <c r="F11" s="37" t="s">
        <v>0</v>
      </c>
      <c r="J11" s="25" t="s">
        <v>46</v>
      </c>
      <c r="K11" s="26">
        <v>3.1</v>
      </c>
      <c r="L11" s="24" t="s">
        <v>0</v>
      </c>
      <c r="M11" s="9" t="s">
        <v>64</v>
      </c>
      <c r="N11" s="6">
        <f>K11-2*K14</f>
        <v>2.5</v>
      </c>
      <c r="O11" s="10" t="s">
        <v>0</v>
      </c>
    </row>
    <row r="12" spans="1:15" ht="15">
      <c r="A12" s="21"/>
      <c r="B12" s="1"/>
      <c r="D12" s="65" t="s">
        <v>178</v>
      </c>
      <c r="E12" s="37"/>
      <c r="F12" s="37"/>
      <c r="J12" s="25" t="s">
        <v>45</v>
      </c>
      <c r="K12" s="26">
        <v>2.6</v>
      </c>
      <c r="L12" s="24" t="s">
        <v>0</v>
      </c>
      <c r="M12" s="9"/>
      <c r="N12" s="6">
        <f>K12-2*K14</f>
        <v>2</v>
      </c>
      <c r="O12" s="10" t="s">
        <v>0</v>
      </c>
    </row>
    <row r="13" spans="4:15" ht="15">
      <c r="D13" s="36"/>
      <c r="F13" s="1"/>
      <c r="I13" s="3" t="s">
        <v>43</v>
      </c>
      <c r="J13" s="25" t="s">
        <v>48</v>
      </c>
      <c r="K13" s="24">
        <v>2.4</v>
      </c>
      <c r="L13" s="24" t="s">
        <v>0</v>
      </c>
      <c r="M13" s="9"/>
      <c r="N13" s="9"/>
      <c r="O13" s="9"/>
    </row>
    <row r="14" spans="1:14" ht="15">
      <c r="A14" t="s">
        <v>65</v>
      </c>
      <c r="B14" s="1">
        <f>B5+(K11*K12)*(K5-K4-K10-0.1)+K38-3.14*0.625^2/4*K4</f>
        <v>37.021224436249994</v>
      </c>
      <c r="C14" t="s">
        <v>2</v>
      </c>
      <c r="I14" s="3" t="s">
        <v>52</v>
      </c>
      <c r="J14" s="25" t="s">
        <v>47</v>
      </c>
      <c r="K14" s="24">
        <v>0.3</v>
      </c>
      <c r="L14" s="24" t="s">
        <v>0</v>
      </c>
      <c r="M14" s="9"/>
      <c r="N14" s="9"/>
    </row>
    <row r="15" spans="1:15" ht="15">
      <c r="A15" t="s">
        <v>66</v>
      </c>
      <c r="B15" s="1">
        <f>B3-B14</f>
        <v>74.41677556374995</v>
      </c>
      <c r="C15" t="s">
        <v>2</v>
      </c>
      <c r="I15" s="3" t="s">
        <v>42</v>
      </c>
      <c r="J15" s="25" t="s">
        <v>47</v>
      </c>
      <c r="K15" s="24">
        <v>0.3</v>
      </c>
      <c r="L15" s="24" t="s">
        <v>0</v>
      </c>
      <c r="O15" s="9"/>
    </row>
    <row r="17" spans="1:15" ht="15">
      <c r="A17" s="11" t="s">
        <v>49</v>
      </c>
      <c r="B17" s="12">
        <f>7.02*5.62</f>
        <v>39.4524</v>
      </c>
      <c r="C17" s="1" t="s">
        <v>5</v>
      </c>
      <c r="D17" s="65" t="s">
        <v>179</v>
      </c>
      <c r="E17" s="13"/>
      <c r="H17" s="25" t="s">
        <v>53</v>
      </c>
      <c r="I17" s="25">
        <v>600</v>
      </c>
      <c r="J17" s="3" t="s">
        <v>54</v>
      </c>
      <c r="K17" s="3">
        <f>I17*0.001+2*N18</f>
        <v>0.8099999999999999</v>
      </c>
      <c r="L17" t="s">
        <v>0</v>
      </c>
      <c r="M17" s="10" t="s">
        <v>165</v>
      </c>
      <c r="N17" s="9"/>
      <c r="O17" s="7"/>
    </row>
    <row r="18" spans="1:15" ht="15">
      <c r="A18" s="21" t="s">
        <v>146</v>
      </c>
      <c r="B18" s="1">
        <f>(K6+2*((O5*K2)+0.15+0.3+0.15+0.15+0.07+0.1+0.04))*(K7+2*(0.15+0.3+0.15+0.15+0.07+0.1+0.04))</f>
        <v>42.2624</v>
      </c>
      <c r="C18" s="1" t="s">
        <v>5</v>
      </c>
      <c r="D18" s="7"/>
      <c r="M18" s="19" t="s">
        <v>135</v>
      </c>
      <c r="N18" s="19">
        <v>0.105</v>
      </c>
      <c r="O18" s="53" t="s">
        <v>0</v>
      </c>
    </row>
    <row r="19" spans="1:14" ht="15">
      <c r="A19" s="21" t="s">
        <v>147</v>
      </c>
      <c r="B19" s="1">
        <f>(K6+2*((O5*K2)+0.15+0.3+0.15+0.15+0.07))*(K7+2*(0.15+0.3+0.15+0.15+0.07))</f>
        <v>38.6616</v>
      </c>
      <c r="C19" s="1" t="s">
        <v>5</v>
      </c>
      <c r="I19" s="3" t="s">
        <v>56</v>
      </c>
      <c r="J19" s="25" t="s">
        <v>86</v>
      </c>
      <c r="K19" s="26">
        <v>1</v>
      </c>
      <c r="L19" s="24" t="s">
        <v>0</v>
      </c>
      <c r="M19" s="7"/>
      <c r="N19" s="7"/>
    </row>
    <row r="20" spans="1:12" ht="15">
      <c r="A20" s="22" t="s">
        <v>150</v>
      </c>
      <c r="B20" s="1">
        <f>(K6+2*(O5*K2)+0.15+0.3+0.15)*(K7+2*(0.15+0.3+0.15))</f>
        <v>29.240000000000006</v>
      </c>
      <c r="C20" s="1" t="s">
        <v>5</v>
      </c>
      <c r="J20" s="41"/>
      <c r="K20" s="42"/>
      <c r="L20" s="23"/>
    </row>
    <row r="21" spans="1:20" ht="15">
      <c r="A21" s="22" t="s">
        <v>148</v>
      </c>
      <c r="B21" s="1">
        <f>(K6+2*O5*K2)*K7</f>
        <v>20.72</v>
      </c>
      <c r="C21" s="1" t="s">
        <v>5</v>
      </c>
      <c r="I21" s="3" t="s">
        <v>58</v>
      </c>
      <c r="J21" s="28" t="s">
        <v>59</v>
      </c>
      <c r="K21" s="30">
        <f>K5-0.1-K10-K15-K13</f>
        <v>1.8399999999999985</v>
      </c>
      <c r="L21" s="29" t="s">
        <v>0</v>
      </c>
      <c r="M21" s="10" t="s">
        <v>180</v>
      </c>
      <c r="T21" s="45" t="s">
        <v>91</v>
      </c>
    </row>
    <row r="23" spans="1:12" ht="15">
      <c r="A23" t="s">
        <v>155</v>
      </c>
      <c r="B23" s="1">
        <f>2*(K11*K10+K12*K10)</f>
        <v>3.42</v>
      </c>
      <c r="C23" s="1" t="s">
        <v>5</v>
      </c>
      <c r="I23" s="3" t="s">
        <v>60</v>
      </c>
      <c r="J23" s="25" t="s">
        <v>59</v>
      </c>
      <c r="K23" s="26">
        <v>0.16</v>
      </c>
      <c r="L23" s="24" t="s">
        <v>0</v>
      </c>
    </row>
    <row r="24" spans="1:12" ht="15">
      <c r="A24" t="s">
        <v>152</v>
      </c>
      <c r="B24" s="1">
        <f>2*K13*K11+2*K12*K13+2*N11*K13+2*N12*K13</f>
        <v>48.96</v>
      </c>
      <c r="C24" s="1" t="s">
        <v>5</v>
      </c>
      <c r="L24" s="18"/>
    </row>
    <row r="25" spans="1:3" ht="15">
      <c r="A25" t="s">
        <v>153</v>
      </c>
      <c r="B25" s="1">
        <f>K11*K12-3.14*K19^2/4+2*(K11+K12)*K15+3.14*K19*K15</f>
        <v>11.637</v>
      </c>
      <c r="C25" s="1" t="s">
        <v>5</v>
      </c>
    </row>
    <row r="26" ht="15">
      <c r="B26" s="1"/>
    </row>
    <row r="27" spans="1:3" ht="15">
      <c r="A27" t="s">
        <v>173</v>
      </c>
      <c r="B27">
        <v>8</v>
      </c>
      <c r="C27" s="1" t="s">
        <v>70</v>
      </c>
    </row>
    <row r="28" spans="1:3" ht="15">
      <c r="A28" t="s">
        <v>230</v>
      </c>
      <c r="B28">
        <v>1</v>
      </c>
      <c r="C28" s="1" t="s">
        <v>70</v>
      </c>
    </row>
    <row r="29" spans="1:4" ht="15">
      <c r="A29" t="s">
        <v>236</v>
      </c>
      <c r="B29">
        <v>2.8</v>
      </c>
      <c r="C29" s="1" t="s">
        <v>0</v>
      </c>
      <c r="D29" s="1" t="s">
        <v>232</v>
      </c>
    </row>
    <row r="30" spans="1:4" ht="15">
      <c r="A30" t="s">
        <v>233</v>
      </c>
      <c r="B30">
        <v>1.6</v>
      </c>
      <c r="C30" s="1" t="s">
        <v>0</v>
      </c>
      <c r="D30" s="65" t="s">
        <v>255</v>
      </c>
    </row>
    <row r="31" spans="1:5" ht="15">
      <c r="A31" t="s">
        <v>97</v>
      </c>
      <c r="B31">
        <v>1</v>
      </c>
      <c r="C31" s="1" t="s">
        <v>70</v>
      </c>
      <c r="E31" s="65" t="s">
        <v>256</v>
      </c>
    </row>
    <row r="32" spans="1:3" ht="15">
      <c r="A32" t="s">
        <v>231</v>
      </c>
      <c r="B32">
        <v>1</v>
      </c>
      <c r="C32" s="1" t="s">
        <v>70</v>
      </c>
    </row>
    <row r="33" ht="15">
      <c r="A33" s="3" t="s">
        <v>143</v>
      </c>
    </row>
    <row r="34" spans="1:15" ht="15">
      <c r="A34" s="41" t="s">
        <v>87</v>
      </c>
      <c r="B34" s="24">
        <v>1</v>
      </c>
      <c r="C34" s="24" t="s">
        <v>0</v>
      </c>
      <c r="D34" s="24">
        <v>1</v>
      </c>
      <c r="E34" s="23" t="s">
        <v>88</v>
      </c>
      <c r="H34" s="19" t="s">
        <v>92</v>
      </c>
      <c r="I34" s="7" t="s">
        <v>93</v>
      </c>
      <c r="K34" s="1">
        <f>3.14*(1+N34*2)^2/4*B34</f>
        <v>1.207016</v>
      </c>
      <c r="L34" t="s">
        <v>2</v>
      </c>
      <c r="M34" s="24" t="s">
        <v>94</v>
      </c>
      <c r="N34" s="24">
        <v>0.12</v>
      </c>
      <c r="O34" s="24" t="s">
        <v>0</v>
      </c>
    </row>
    <row r="35" spans="1:15" ht="15">
      <c r="A35" s="41" t="s">
        <v>89</v>
      </c>
      <c r="B35" s="24">
        <v>0.58</v>
      </c>
      <c r="C35" s="24" t="s">
        <v>0</v>
      </c>
      <c r="D35" s="24">
        <v>1</v>
      </c>
      <c r="E35" s="23" t="s">
        <v>88</v>
      </c>
      <c r="K35" s="1">
        <f>1/12*3.14*B35*((1+2*N35)^2+(1+2*N35)*(0.625+2*N35)+(0.625+2*N35)^2)</f>
        <v>0.5096969674999999</v>
      </c>
      <c r="L35" t="s">
        <v>2</v>
      </c>
      <c r="M35" s="24" t="s">
        <v>94</v>
      </c>
      <c r="N35" s="24">
        <v>0.12</v>
      </c>
      <c r="O35" s="24" t="s">
        <v>0</v>
      </c>
    </row>
    <row r="36" spans="1:15" ht="15">
      <c r="A36" s="57" t="s">
        <v>167</v>
      </c>
      <c r="B36" s="62">
        <v>0.04</v>
      </c>
      <c r="C36" s="62" t="s">
        <v>0</v>
      </c>
      <c r="D36" s="24">
        <v>1</v>
      </c>
      <c r="E36" s="23" t="s">
        <v>88</v>
      </c>
      <c r="K36" s="31">
        <f>3.14*(0.625+2*N36)^2/4*B36</f>
        <v>0.021371624999999998</v>
      </c>
      <c r="L36" s="32" t="s">
        <v>2</v>
      </c>
      <c r="M36" s="24" t="s">
        <v>94</v>
      </c>
      <c r="N36" s="24">
        <v>0.1</v>
      </c>
      <c r="O36" s="24" t="s">
        <v>0</v>
      </c>
    </row>
    <row r="37" spans="1:12" ht="15">
      <c r="A37" s="59" t="s">
        <v>90</v>
      </c>
      <c r="B37" s="60">
        <f>G37+B34*D34+B35*D35+B36*D36+K23</f>
        <v>1.8499999999999999</v>
      </c>
      <c r="C37" s="61" t="s">
        <v>0</v>
      </c>
      <c r="F37" s="59" t="s">
        <v>254</v>
      </c>
      <c r="G37" s="60">
        <v>0.07</v>
      </c>
      <c r="H37" s="61" t="s">
        <v>0</v>
      </c>
      <c r="J37" s="6" t="s">
        <v>95</v>
      </c>
      <c r="K37" s="46">
        <f>3.14*0.625^2/4*K23</f>
        <v>0.0490625</v>
      </c>
      <c r="L37" s="4" t="s">
        <v>2</v>
      </c>
    </row>
    <row r="38" spans="10:19" ht="15">
      <c r="J38" s="6" t="s">
        <v>90</v>
      </c>
      <c r="K38" s="44">
        <f>K34*D34+K35*D35+K36*D36+K37</f>
        <v>1.7871470925</v>
      </c>
      <c r="L38" s="43" t="s">
        <v>2</v>
      </c>
      <c r="Q38" s="58" t="s">
        <v>144</v>
      </c>
      <c r="R38" s="45">
        <f>K21-B37</f>
        <v>-0.010000000000001341</v>
      </c>
      <c r="S38" s="43" t="s">
        <v>0</v>
      </c>
    </row>
    <row r="39" spans="1:3" ht="15">
      <c r="A39" t="s">
        <v>71</v>
      </c>
      <c r="B39">
        <f>N11</f>
        <v>2.5</v>
      </c>
      <c r="C39" s="1" t="s">
        <v>0</v>
      </c>
    </row>
    <row r="41" spans="1:2" ht="15">
      <c r="A41" t="s">
        <v>72</v>
      </c>
      <c r="B41" s="5" t="s">
        <v>274</v>
      </c>
    </row>
    <row r="42" ht="15">
      <c r="A42" s="65"/>
    </row>
    <row r="43" ht="15">
      <c r="A43" s="14" t="s">
        <v>238</v>
      </c>
    </row>
    <row r="44" ht="15">
      <c r="A44" s="76" t="s">
        <v>237</v>
      </c>
    </row>
  </sheetData>
  <hyperlinks>
    <hyperlink ref="A44" r:id="rId1" display="https://www.buesch.com/uploads/media/buesch-mas-ovl--dac---sada-2-cs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9"/>
  <sheetViews>
    <sheetView view="pageBreakPreview" zoomScale="60" workbookViewId="0" topLeftCell="A1">
      <selection activeCell="K37" sqref="K37"/>
    </sheetView>
  </sheetViews>
  <sheetFormatPr defaultColWidth="9.140625" defaultRowHeight="15"/>
  <cols>
    <col min="1" max="1" width="12.140625" style="0" customWidth="1"/>
    <col min="2" max="2" width="9.421875" style="0" customWidth="1"/>
    <col min="3" max="3" width="8.28125" style="0" customWidth="1"/>
    <col min="4" max="4" width="10.57421875" style="0" customWidth="1"/>
    <col min="5" max="6" width="10.00390625" style="0" customWidth="1"/>
    <col min="8" max="8" width="11.57421875" style="0" customWidth="1"/>
    <col min="10" max="10" width="9.421875" style="0" customWidth="1"/>
  </cols>
  <sheetData>
    <row r="1" ht="15">
      <c r="A1" s="33" t="s">
        <v>281</v>
      </c>
    </row>
    <row r="2" spans="1:10" ht="15">
      <c r="A2" t="s">
        <v>282</v>
      </c>
      <c r="B2" s="3" t="s">
        <v>215</v>
      </c>
      <c r="C2" s="5">
        <v>600</v>
      </c>
      <c r="D2" s="8" t="s">
        <v>14</v>
      </c>
      <c r="E2">
        <v>17.9</v>
      </c>
      <c r="F2" t="s">
        <v>0</v>
      </c>
      <c r="G2" s="88" t="s">
        <v>92</v>
      </c>
      <c r="H2" s="3" t="s">
        <v>288</v>
      </c>
      <c r="I2">
        <v>92</v>
      </c>
      <c r="J2" t="s">
        <v>289</v>
      </c>
    </row>
    <row r="3" spans="1:10" ht="15">
      <c r="A3" t="s">
        <v>283</v>
      </c>
      <c r="B3" s="3" t="s">
        <v>215</v>
      </c>
      <c r="C3" s="5">
        <v>600</v>
      </c>
      <c r="D3" s="8" t="s">
        <v>14</v>
      </c>
      <c r="E3">
        <f>94.45-E2</f>
        <v>76.55000000000001</v>
      </c>
      <c r="F3" t="s">
        <v>0</v>
      </c>
      <c r="H3" s="3" t="s">
        <v>284</v>
      </c>
      <c r="I3">
        <v>15</v>
      </c>
      <c r="J3" s="74" t="s">
        <v>285</v>
      </c>
    </row>
    <row r="4" spans="8:11" ht="15">
      <c r="H4" s="3" t="s">
        <v>286</v>
      </c>
      <c r="I4">
        <v>1.6</v>
      </c>
      <c r="J4" t="s">
        <v>0</v>
      </c>
      <c r="K4" s="18" t="s">
        <v>287</v>
      </c>
    </row>
    <row r="5" spans="1:3" ht="15">
      <c r="A5" t="s">
        <v>330</v>
      </c>
      <c r="B5">
        <v>12</v>
      </c>
      <c r="C5" t="s">
        <v>0</v>
      </c>
    </row>
    <row r="6" spans="8:14" ht="15">
      <c r="H6" s="3" t="s">
        <v>290</v>
      </c>
      <c r="I6" s="3" t="s">
        <v>291</v>
      </c>
      <c r="J6">
        <v>0.28</v>
      </c>
      <c r="K6" t="s">
        <v>292</v>
      </c>
      <c r="L6" s="3" t="s">
        <v>291</v>
      </c>
      <c r="M6">
        <v>0.74</v>
      </c>
      <c r="N6" t="s">
        <v>5</v>
      </c>
    </row>
    <row r="7" spans="8:14" ht="15">
      <c r="H7" s="3" t="s">
        <v>293</v>
      </c>
      <c r="I7" s="3" t="s">
        <v>291</v>
      </c>
      <c r="J7">
        <v>0.62</v>
      </c>
      <c r="K7" t="s">
        <v>292</v>
      </c>
      <c r="L7" s="3" t="s">
        <v>291</v>
      </c>
      <c r="M7">
        <v>1.01</v>
      </c>
      <c r="N7" t="s">
        <v>5</v>
      </c>
    </row>
    <row r="8" spans="8:9" ht="15">
      <c r="H8" s="3"/>
      <c r="I8" s="3"/>
    </row>
    <row r="9" spans="1:12" ht="28.8">
      <c r="A9" s="89" t="s">
        <v>297</v>
      </c>
      <c r="B9" s="89" t="s">
        <v>4</v>
      </c>
      <c r="C9" s="89" t="s">
        <v>302</v>
      </c>
      <c r="D9" s="89" t="s">
        <v>303</v>
      </c>
      <c r="E9" s="89" t="s">
        <v>296</v>
      </c>
      <c r="F9" s="89" t="s">
        <v>308</v>
      </c>
      <c r="G9" s="89" t="s">
        <v>309</v>
      </c>
      <c r="H9" s="89" t="s">
        <v>298</v>
      </c>
      <c r="I9" s="89" t="s">
        <v>299</v>
      </c>
      <c r="J9" s="89" t="s">
        <v>300</v>
      </c>
      <c r="K9" s="89" t="s">
        <v>304</v>
      </c>
      <c r="L9" s="89" t="s">
        <v>305</v>
      </c>
    </row>
    <row r="10" spans="1:14" ht="15">
      <c r="A10">
        <v>0</v>
      </c>
      <c r="B10">
        <v>1.06</v>
      </c>
      <c r="N10" s="77"/>
    </row>
    <row r="11" spans="1:12" ht="15">
      <c r="A11">
        <v>1.4</v>
      </c>
      <c r="B11">
        <v>1.68</v>
      </c>
      <c r="C11">
        <v>0.2</v>
      </c>
      <c r="D11">
        <v>0</v>
      </c>
      <c r="E11" s="1">
        <f>(A11-A10)*$I$4*((B11+B10)/2-C11-D11)</f>
        <v>2.6208</v>
      </c>
      <c r="F11">
        <f>(A11-A10)*$I$4</f>
        <v>2.2399999999999998</v>
      </c>
      <c r="H11">
        <v>0</v>
      </c>
      <c r="I11" s="1">
        <f>(A11-A10)*$J$7</f>
        <v>0.868</v>
      </c>
      <c r="J11" s="1">
        <f>(A11-A10)*$M$7</f>
        <v>1.414</v>
      </c>
      <c r="K11" s="1">
        <f>E11-J11</f>
        <v>1.2068</v>
      </c>
      <c r="L11" t="s">
        <v>311</v>
      </c>
    </row>
    <row r="12" spans="1:12" ht="15">
      <c r="A12">
        <v>13.45</v>
      </c>
      <c r="B12">
        <v>2</v>
      </c>
      <c r="C12">
        <v>0.2</v>
      </c>
      <c r="D12">
        <v>0</v>
      </c>
      <c r="E12" s="1">
        <f aca="true" t="shared" si="0" ref="E12:E13">(A12-A11)*$I$4*((B12+B11)/2-C12-D12)</f>
        <v>31.6192</v>
      </c>
      <c r="F12">
        <f aca="true" t="shared" si="1" ref="F12:F13">(A12-A11)*$I$4</f>
        <v>19.28</v>
      </c>
      <c r="H12">
        <v>0</v>
      </c>
      <c r="I12" s="1">
        <f>(A12-A11)*$J$7</f>
        <v>7.470999999999999</v>
      </c>
      <c r="J12" s="1">
        <f>(A12-A11)*$M$7</f>
        <v>12.170499999999999</v>
      </c>
      <c r="K12" s="1">
        <f>E12-J12</f>
        <v>19.448700000000002</v>
      </c>
      <c r="L12" t="s">
        <v>311</v>
      </c>
    </row>
    <row r="13" spans="1:12" ht="15">
      <c r="A13" s="77">
        <v>17.6</v>
      </c>
      <c r="B13">
        <v>2.86</v>
      </c>
      <c r="C13">
        <v>0.2</v>
      </c>
      <c r="D13">
        <v>0</v>
      </c>
      <c r="E13" s="1">
        <f t="shared" si="0"/>
        <v>14.807200000000005</v>
      </c>
      <c r="F13">
        <f t="shared" si="1"/>
        <v>6.640000000000004</v>
      </c>
      <c r="H13">
        <v>0</v>
      </c>
      <c r="I13" s="1">
        <f>(A13-A12)*$J$7</f>
        <v>2.5730000000000013</v>
      </c>
      <c r="J13" s="1">
        <f>(A13-A12)*$M$7</f>
        <v>4.191500000000002</v>
      </c>
      <c r="K13" s="1">
        <f>E13-J13</f>
        <v>10.615700000000004</v>
      </c>
      <c r="L13" t="s">
        <v>311</v>
      </c>
    </row>
    <row r="14" spans="1:12" ht="15">
      <c r="A14" s="77">
        <v>20.75</v>
      </c>
      <c r="D14" t="s">
        <v>306</v>
      </c>
      <c r="E14" s="1"/>
      <c r="H14">
        <v>0</v>
      </c>
      <c r="I14" s="1">
        <f>(A14-A13)*$J$7</f>
        <v>1.9529999999999992</v>
      </c>
      <c r="J14" s="1"/>
      <c r="K14" s="1"/>
      <c r="L14" t="s">
        <v>294</v>
      </c>
    </row>
    <row r="15" spans="1:11" ht="15">
      <c r="A15" s="77">
        <v>32.75</v>
      </c>
      <c r="D15" t="s">
        <v>307</v>
      </c>
      <c r="E15" s="1"/>
      <c r="I15" s="90"/>
      <c r="J15" s="1"/>
      <c r="K15" s="1"/>
    </row>
    <row r="16" spans="1:12" ht="15">
      <c r="A16" s="77">
        <v>35.5</v>
      </c>
      <c r="B16">
        <v>4.59</v>
      </c>
      <c r="C16">
        <v>0</v>
      </c>
      <c r="D16">
        <v>0.41</v>
      </c>
      <c r="E16" s="1"/>
      <c r="H16">
        <v>0</v>
      </c>
      <c r="I16" s="1">
        <f>(A16-A15)*$J$7</f>
        <v>1.705</v>
      </c>
      <c r="J16" s="1"/>
      <c r="K16" s="1"/>
      <c r="L16" t="s">
        <v>214</v>
      </c>
    </row>
    <row r="17" spans="1:12" ht="15">
      <c r="A17">
        <v>52.8</v>
      </c>
      <c r="B17">
        <v>4.55</v>
      </c>
      <c r="C17">
        <v>0</v>
      </c>
      <c r="D17">
        <v>0.41</v>
      </c>
      <c r="E17" s="1">
        <f aca="true" t="shared" si="2" ref="E17:E18">(A17-A16)*$I$4*((B17+B16)/2-C17-D17)</f>
        <v>115.1488</v>
      </c>
      <c r="G17">
        <f>(A17-A16)*$I$4*D17</f>
        <v>11.348799999999997</v>
      </c>
      <c r="H17" s="1">
        <f>(A17-A16)*J6</f>
        <v>4.843999999999999</v>
      </c>
      <c r="I17">
        <v>0</v>
      </c>
      <c r="J17" s="1">
        <f>(A17-A16)*$M$6</f>
        <v>12.801999999999998</v>
      </c>
      <c r="K17" s="1">
        <f>E17-J17</f>
        <v>102.3468</v>
      </c>
      <c r="L17" t="s">
        <v>214</v>
      </c>
    </row>
    <row r="18" spans="1:12" ht="15">
      <c r="A18">
        <v>94.45</v>
      </c>
      <c r="B18">
        <v>4.03</v>
      </c>
      <c r="C18">
        <v>0</v>
      </c>
      <c r="D18">
        <v>0.41</v>
      </c>
      <c r="E18" s="1">
        <f t="shared" si="2"/>
        <v>258.56320000000005</v>
      </c>
      <c r="G18">
        <f>(A18-A17)*$I$4*D18</f>
        <v>27.322400000000005</v>
      </c>
      <c r="H18" s="1">
        <f>(A18-A17)*J7</f>
        <v>25.823000000000004</v>
      </c>
      <c r="I18">
        <v>0</v>
      </c>
      <c r="J18" s="1">
        <f>(A18-A17)*$M$6</f>
        <v>30.821000000000005</v>
      </c>
      <c r="K18" s="1">
        <f>E18-J18</f>
        <v>227.74220000000005</v>
      </c>
      <c r="L18" t="s">
        <v>214</v>
      </c>
    </row>
    <row r="20" spans="3:11" ht="15">
      <c r="C20" s="91" t="s">
        <v>310</v>
      </c>
      <c r="D20" s="92"/>
      <c r="E20" s="93">
        <f>SUM(E11:E18)</f>
        <v>422.7592000000001</v>
      </c>
      <c r="F20" s="93">
        <f aca="true" t="shared" si="3" ref="F20:K20">SUM(F11:F18)</f>
        <v>28.160000000000004</v>
      </c>
      <c r="G20" s="93">
        <f t="shared" si="3"/>
        <v>38.6712</v>
      </c>
      <c r="H20" s="93">
        <f t="shared" si="3"/>
        <v>30.667</v>
      </c>
      <c r="I20" s="93">
        <f t="shared" si="3"/>
        <v>14.569999999999999</v>
      </c>
      <c r="J20" s="93">
        <f t="shared" si="3"/>
        <v>61.399</v>
      </c>
      <c r="K20" s="94">
        <f t="shared" si="3"/>
        <v>361.3602000000001</v>
      </c>
    </row>
    <row r="22" ht="15">
      <c r="A22" s="86" t="s">
        <v>307</v>
      </c>
    </row>
    <row r="23" spans="1:4" ht="15">
      <c r="A23" s="3" t="s">
        <v>57</v>
      </c>
      <c r="B23">
        <v>4.1</v>
      </c>
      <c r="C23" t="s">
        <v>0</v>
      </c>
      <c r="D23" t="s">
        <v>318</v>
      </c>
    </row>
    <row r="24" spans="1:3" ht="15">
      <c r="A24" s="3" t="s">
        <v>158</v>
      </c>
      <c r="B24">
        <v>6</v>
      </c>
      <c r="C24" t="s">
        <v>0</v>
      </c>
    </row>
    <row r="25" spans="1:4" ht="15">
      <c r="A25" s="3" t="s">
        <v>312</v>
      </c>
      <c r="B25">
        <f>211.26-206.92-D16+0.6</f>
        <v>4.530000000000003</v>
      </c>
      <c r="C25" t="s">
        <v>0</v>
      </c>
      <c r="D25" t="s">
        <v>315</v>
      </c>
    </row>
    <row r="26" ht="15">
      <c r="D26" t="s">
        <v>316</v>
      </c>
    </row>
    <row r="27" ht="15">
      <c r="A27" s="96" t="s">
        <v>317</v>
      </c>
    </row>
    <row r="28" ht="15">
      <c r="A28" s="3"/>
    </row>
    <row r="29" ht="15">
      <c r="A29" s="86" t="s">
        <v>306</v>
      </c>
    </row>
    <row r="30" spans="1:3" ht="15">
      <c r="A30" s="3" t="s">
        <v>57</v>
      </c>
      <c r="B30">
        <v>2</v>
      </c>
      <c r="C30" t="s">
        <v>0</v>
      </c>
    </row>
    <row r="31" spans="1:3" ht="15">
      <c r="A31" s="3" t="s">
        <v>158</v>
      </c>
      <c r="B31">
        <v>4</v>
      </c>
      <c r="C31" t="s">
        <v>0</v>
      </c>
    </row>
    <row r="32" spans="1:4" ht="15">
      <c r="A32" s="3" t="s">
        <v>312</v>
      </c>
      <c r="B32">
        <f>((210.06-206.79)+(209.37-206.76))/2-C11+0.5</f>
        <v>3.2400000000000118</v>
      </c>
      <c r="C32" t="s">
        <v>0</v>
      </c>
      <c r="D32" t="s">
        <v>319</v>
      </c>
    </row>
    <row r="33" spans="1:8" ht="15">
      <c r="A33" s="3" t="s">
        <v>301</v>
      </c>
      <c r="B33">
        <f>B30*B31</f>
        <v>8</v>
      </c>
      <c r="C33" t="s">
        <v>5</v>
      </c>
      <c r="D33" t="s">
        <v>331</v>
      </c>
      <c r="G33" s="1">
        <f>B33-(0.625+2*N47)^2*3.14/4</f>
        <v>7.465709375</v>
      </c>
      <c r="H33" t="s">
        <v>5</v>
      </c>
    </row>
    <row r="34" spans="6:8" ht="15">
      <c r="F34" s="3" t="s">
        <v>295</v>
      </c>
      <c r="G34" s="1">
        <f>G33*C11</f>
        <v>1.493141875</v>
      </c>
      <c r="H34" t="s">
        <v>2</v>
      </c>
    </row>
    <row r="35" spans="1:3" ht="15">
      <c r="A35" s="3" t="s">
        <v>314</v>
      </c>
      <c r="B35">
        <f>B30*B31*B32</f>
        <v>25.920000000000094</v>
      </c>
      <c r="C35" t="s">
        <v>2</v>
      </c>
    </row>
    <row r="36" spans="1:3" ht="15">
      <c r="A36" s="3" t="s">
        <v>313</v>
      </c>
      <c r="B36">
        <f>(B30+B31)*2*B32</f>
        <v>38.88000000000014</v>
      </c>
      <c r="C36" t="s">
        <v>5</v>
      </c>
    </row>
    <row r="37" spans="1:3" ht="15">
      <c r="A37" s="87" t="s">
        <v>300</v>
      </c>
      <c r="B37" s="1">
        <f>B38+B39</f>
        <v>3.1219679220000005</v>
      </c>
      <c r="C37" t="s">
        <v>2</v>
      </c>
    </row>
    <row r="38" spans="1:3" ht="15">
      <c r="A38" s="36" t="s">
        <v>320</v>
      </c>
      <c r="B38" s="37">
        <f>K49</f>
        <v>1.81920453</v>
      </c>
      <c r="C38" s="34" t="s">
        <v>2</v>
      </c>
    </row>
    <row r="39" spans="1:3" ht="15">
      <c r="A39" s="36" t="s">
        <v>321</v>
      </c>
      <c r="B39" s="37">
        <f>(3.14*((C2+2*I2)*0.001)^2/4)*(B31-(1+2*N44))</f>
        <v>1.3027633920000004</v>
      </c>
      <c r="C39" s="34" t="s">
        <v>2</v>
      </c>
    </row>
    <row r="40" spans="1:4" ht="15">
      <c r="A40" s="87" t="s">
        <v>304</v>
      </c>
      <c r="B40" s="1">
        <f>B35-B37</f>
        <v>22.798032078000094</v>
      </c>
      <c r="C40" t="s">
        <v>2</v>
      </c>
      <c r="D40" t="s">
        <v>329</v>
      </c>
    </row>
    <row r="42" ht="15">
      <c r="A42" s="5" t="s">
        <v>322</v>
      </c>
    </row>
    <row r="43" spans="2:4" ht="15">
      <c r="B43" s="3" t="s">
        <v>326</v>
      </c>
      <c r="C43">
        <f>209.37-206.76</f>
        <v>2.6100000000000136</v>
      </c>
      <c r="D43" t="s">
        <v>0</v>
      </c>
    </row>
    <row r="44" spans="2:15" ht="15">
      <c r="B44" s="41" t="s">
        <v>327</v>
      </c>
      <c r="C44" s="24">
        <v>1.2</v>
      </c>
      <c r="D44" s="24" t="s">
        <v>0</v>
      </c>
      <c r="E44" s="24" t="s">
        <v>328</v>
      </c>
      <c r="F44" s="24">
        <v>1</v>
      </c>
      <c r="G44" s="24" t="s">
        <v>0</v>
      </c>
      <c r="H44" s="19" t="s">
        <v>92</v>
      </c>
      <c r="I44" s="7" t="s">
        <v>93</v>
      </c>
      <c r="K44" s="1">
        <f>3.14*(1+N44*2)^2/4*C44</f>
        <v>1.5919800000000002</v>
      </c>
      <c r="L44" t="s">
        <v>2</v>
      </c>
      <c r="M44" s="24" t="s">
        <v>94</v>
      </c>
      <c r="N44" s="24">
        <v>0.15</v>
      </c>
      <c r="O44" s="24" t="s">
        <v>0</v>
      </c>
    </row>
    <row r="45" spans="2:15" ht="15">
      <c r="B45" s="41" t="s">
        <v>87</v>
      </c>
      <c r="C45" s="24">
        <v>1</v>
      </c>
      <c r="D45" s="24" t="s">
        <v>0</v>
      </c>
      <c r="E45" s="24">
        <v>1</v>
      </c>
      <c r="F45" s="23" t="s">
        <v>88</v>
      </c>
      <c r="K45" s="1">
        <f>3.14*(1+N45*2)^2/4*(C45*E45)</f>
        <v>1.207016</v>
      </c>
      <c r="L45" t="s">
        <v>2</v>
      </c>
      <c r="M45" s="24" t="s">
        <v>94</v>
      </c>
      <c r="N45" s="24">
        <v>0.12</v>
      </c>
      <c r="O45" s="24" t="s">
        <v>0</v>
      </c>
    </row>
    <row r="46" spans="2:15" ht="15">
      <c r="B46" s="41" t="s">
        <v>89</v>
      </c>
      <c r="C46" s="24">
        <v>0.58</v>
      </c>
      <c r="D46" s="24" t="s">
        <v>0</v>
      </c>
      <c r="E46" s="24">
        <v>1</v>
      </c>
      <c r="F46" s="23" t="s">
        <v>88</v>
      </c>
      <c r="K46" s="1">
        <f>1/12*3.14*C46*((1+2*N46)^2+(1+2*N46)*(0.625+2*N46)+(0.625+2*N46)^2)</f>
        <v>0.5096969674999999</v>
      </c>
      <c r="L46" t="s">
        <v>2</v>
      </c>
      <c r="M46" s="24" t="s">
        <v>94</v>
      </c>
      <c r="N46" s="24">
        <v>0.12</v>
      </c>
      <c r="O46" s="24" t="s">
        <v>0</v>
      </c>
    </row>
    <row r="47" spans="2:15" ht="15">
      <c r="B47" s="57" t="s">
        <v>323</v>
      </c>
      <c r="C47" s="62">
        <v>0.1</v>
      </c>
      <c r="D47" s="62" t="s">
        <v>0</v>
      </c>
      <c r="E47" s="24">
        <v>1</v>
      </c>
      <c r="F47" s="23" t="s">
        <v>88</v>
      </c>
      <c r="K47" s="31">
        <f>3.14*(0.625+2*N47)^2/4*(C47*E47)</f>
        <v>0.05342906249999999</v>
      </c>
      <c r="L47" s="32" t="s">
        <v>2</v>
      </c>
      <c r="M47" s="24" t="s">
        <v>94</v>
      </c>
      <c r="N47" s="24">
        <v>0.1</v>
      </c>
      <c r="O47" s="24" t="s">
        <v>0</v>
      </c>
    </row>
    <row r="48" spans="2:12" ht="15">
      <c r="B48" s="57" t="s">
        <v>95</v>
      </c>
      <c r="C48" s="62">
        <v>0.16</v>
      </c>
      <c r="D48" s="62" t="s">
        <v>0</v>
      </c>
      <c r="E48" s="24"/>
      <c r="F48" s="23"/>
      <c r="G48" s="60"/>
      <c r="H48" s="61"/>
      <c r="J48" s="6" t="s">
        <v>95</v>
      </c>
      <c r="K48" s="46">
        <f>3.14*0.625^2/4*C48</f>
        <v>0.0490625</v>
      </c>
      <c r="L48" s="4" t="s">
        <v>2</v>
      </c>
    </row>
    <row r="49" spans="2:12" ht="15">
      <c r="B49" s="59" t="s">
        <v>90</v>
      </c>
      <c r="C49" s="60">
        <f>F44+C45*E45+C46*E46+C47*E47+C48</f>
        <v>2.8400000000000003</v>
      </c>
      <c r="D49" s="61" t="s">
        <v>0</v>
      </c>
      <c r="E49" s="1"/>
      <c r="J49" s="6" t="s">
        <v>90</v>
      </c>
      <c r="K49" s="44">
        <f>K45*E45+K46*E46+K47*E47+K48</f>
        <v>1.81920453</v>
      </c>
      <c r="L49" s="43" t="s">
        <v>2</v>
      </c>
    </row>
    <row r="50" spans="2:4" ht="15">
      <c r="B50" s="59" t="s">
        <v>324</v>
      </c>
      <c r="C50" s="60">
        <f>C49-C43</f>
        <v>0.22999999999998666</v>
      </c>
      <c r="D50" s="61" t="s">
        <v>0</v>
      </c>
    </row>
    <row r="52" ht="15">
      <c r="A52" s="5" t="s">
        <v>325</v>
      </c>
    </row>
    <row r="53" spans="2:4" ht="15">
      <c r="B53" s="3" t="s">
        <v>326</v>
      </c>
      <c r="C53">
        <f>211.23-207.45</f>
        <v>3.780000000000001</v>
      </c>
      <c r="D53" t="s">
        <v>0</v>
      </c>
    </row>
    <row r="54" spans="2:15" ht="15">
      <c r="B54" s="41" t="s">
        <v>327</v>
      </c>
      <c r="C54" s="24">
        <v>1.2</v>
      </c>
      <c r="D54" s="24" t="s">
        <v>0</v>
      </c>
      <c r="E54" s="24" t="s">
        <v>328</v>
      </c>
      <c r="F54" s="24">
        <v>1</v>
      </c>
      <c r="G54" s="24" t="s">
        <v>0</v>
      </c>
      <c r="H54" s="19" t="s">
        <v>92</v>
      </c>
      <c r="I54" s="7" t="s">
        <v>93</v>
      </c>
      <c r="K54" s="1">
        <f>3.14*(1+N54*2)^2/4*C54</f>
        <v>1.5919800000000002</v>
      </c>
      <c r="L54" t="s">
        <v>2</v>
      </c>
      <c r="M54" s="24" t="s">
        <v>94</v>
      </c>
      <c r="N54" s="24">
        <v>0.15</v>
      </c>
      <c r="O54" s="24" t="s">
        <v>0</v>
      </c>
    </row>
    <row r="55" spans="2:15" ht="15">
      <c r="B55" s="41" t="s">
        <v>87</v>
      </c>
      <c r="C55" s="24">
        <v>2</v>
      </c>
      <c r="D55" s="24" t="s">
        <v>0</v>
      </c>
      <c r="E55" s="24">
        <v>1</v>
      </c>
      <c r="F55" s="23" t="s">
        <v>88</v>
      </c>
      <c r="K55" s="1">
        <f>3.14*(1+N55*2)^2/4*(C55*E55)</f>
        <v>2.414032</v>
      </c>
      <c r="L55" t="s">
        <v>2</v>
      </c>
      <c r="M55" s="24" t="s">
        <v>94</v>
      </c>
      <c r="N55" s="24">
        <v>0.12</v>
      </c>
      <c r="O55" s="24" t="s">
        <v>0</v>
      </c>
    </row>
    <row r="56" spans="2:15" ht="15">
      <c r="B56" s="41" t="s">
        <v>89</v>
      </c>
      <c r="C56" s="24">
        <v>0.58</v>
      </c>
      <c r="D56" s="24" t="s">
        <v>0</v>
      </c>
      <c r="E56" s="24">
        <v>1</v>
      </c>
      <c r="F56" s="23" t="s">
        <v>88</v>
      </c>
      <c r="K56" s="1">
        <f>1/12*3.14*C56*((1+2*N56)^2+(1+2*N56)*(0.625+2*N56)+(0.625+2*N56)^2)</f>
        <v>0.5096969674999999</v>
      </c>
      <c r="L56" t="s">
        <v>2</v>
      </c>
      <c r="M56" s="24" t="s">
        <v>94</v>
      </c>
      <c r="N56" s="24">
        <v>0.12</v>
      </c>
      <c r="O56" s="24" t="s">
        <v>0</v>
      </c>
    </row>
    <row r="57" spans="2:15" ht="15">
      <c r="B57" s="57" t="s">
        <v>323</v>
      </c>
      <c r="C57" s="62">
        <v>0.04</v>
      </c>
      <c r="D57" s="62" t="s">
        <v>0</v>
      </c>
      <c r="E57" s="24">
        <v>1</v>
      </c>
      <c r="F57" s="23" t="s">
        <v>88</v>
      </c>
      <c r="K57" s="31">
        <f>3.14*(0.625+2*N57)^2/4*(C57*E57)</f>
        <v>0.021371624999999998</v>
      </c>
      <c r="L57" s="32" t="s">
        <v>2</v>
      </c>
      <c r="M57" s="24" t="s">
        <v>94</v>
      </c>
      <c r="N57" s="24">
        <v>0.1</v>
      </c>
      <c r="O57" s="24" t="s">
        <v>0</v>
      </c>
    </row>
    <row r="58" spans="2:12" ht="15">
      <c r="B58" s="57" t="s">
        <v>95</v>
      </c>
      <c r="C58" s="62">
        <v>0.16</v>
      </c>
      <c r="D58" s="62" t="s">
        <v>0</v>
      </c>
      <c r="E58" s="24"/>
      <c r="F58" s="23"/>
      <c r="H58" s="61"/>
      <c r="J58" s="6" t="s">
        <v>95</v>
      </c>
      <c r="K58" s="46">
        <f>3.14*0.625^2/4*C58</f>
        <v>0.0490625</v>
      </c>
      <c r="L58" s="4" t="s">
        <v>2</v>
      </c>
    </row>
    <row r="59" spans="2:12" ht="15">
      <c r="B59" s="59" t="s">
        <v>90</v>
      </c>
      <c r="C59" s="60">
        <f>F54+C55*E55+C56*E56+C57*E57+C58</f>
        <v>3.7800000000000002</v>
      </c>
      <c r="D59" s="61" t="s">
        <v>0</v>
      </c>
      <c r="E59" s="1"/>
      <c r="J59" s="6" t="s">
        <v>90</v>
      </c>
      <c r="K59" s="44">
        <f>K55*E55+K56*E56+K57*E57+K58</f>
        <v>2.9941630925</v>
      </c>
      <c r="L59" s="43" t="s">
        <v>2</v>
      </c>
    </row>
  </sheetData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80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6"/>
  <sheetViews>
    <sheetView view="pageBreakPreview" zoomScaleSheetLayoutView="100" workbookViewId="0" topLeftCell="A1">
      <selection activeCell="B43" sqref="B43"/>
    </sheetView>
  </sheetViews>
  <sheetFormatPr defaultColWidth="9.140625" defaultRowHeight="15"/>
  <cols>
    <col min="1" max="1" width="45.8515625" style="0" customWidth="1"/>
    <col min="3" max="5" width="8.8515625" style="1" customWidth="1"/>
  </cols>
  <sheetData>
    <row r="1" ht="15">
      <c r="A1" s="33" t="s">
        <v>267</v>
      </c>
    </row>
    <row r="2" spans="1:12" ht="15">
      <c r="A2" t="s">
        <v>33</v>
      </c>
      <c r="B2" s="1"/>
      <c r="C2"/>
      <c r="J2" s="3" t="s">
        <v>35</v>
      </c>
      <c r="K2" s="24">
        <v>0</v>
      </c>
      <c r="L2" s="24"/>
    </row>
    <row r="3" spans="1:17" ht="15">
      <c r="A3" s="21" t="s">
        <v>34</v>
      </c>
      <c r="B3" s="1">
        <f>(K6+2*K3)*(K7+2*K3)*(K5-K4)</f>
        <v>51.92949999999984</v>
      </c>
      <c r="C3" t="s">
        <v>2</v>
      </c>
      <c r="D3" s="34"/>
      <c r="E3" s="34"/>
      <c r="J3" t="s">
        <v>36</v>
      </c>
      <c r="K3" s="24">
        <v>0.15</v>
      </c>
      <c r="L3" s="24" t="s">
        <v>0</v>
      </c>
      <c r="O3" s="6"/>
      <c r="P3" s="7"/>
      <c r="Q3" s="7"/>
    </row>
    <row r="4" spans="4:17" ht="15">
      <c r="D4" s="34"/>
      <c r="E4" s="35"/>
      <c r="J4" s="3" t="s">
        <v>37</v>
      </c>
      <c r="K4" s="24">
        <f>0.04+0.07+0.15+0.15</f>
        <v>0.41000000000000003</v>
      </c>
      <c r="L4" s="24" t="s">
        <v>0</v>
      </c>
      <c r="M4" s="29"/>
      <c r="N4" s="29"/>
      <c r="O4" s="29"/>
      <c r="P4" s="29"/>
      <c r="Q4" s="7"/>
    </row>
    <row r="5" spans="1:17" ht="15">
      <c r="A5" t="s">
        <v>40</v>
      </c>
      <c r="B5" s="1">
        <f>0.1*K8*K9</f>
        <v>1.088</v>
      </c>
      <c r="C5" t="s">
        <v>2</v>
      </c>
      <c r="D5" s="36"/>
      <c r="E5" s="37"/>
      <c r="J5" s="3" t="s">
        <v>4</v>
      </c>
      <c r="K5" s="39">
        <f>216.92-212.5</f>
        <v>4.4199999999999875</v>
      </c>
      <c r="L5" s="24" t="s">
        <v>0</v>
      </c>
      <c r="M5" s="7" t="s">
        <v>85</v>
      </c>
      <c r="O5" s="40">
        <f>K5-K4</f>
        <v>4.009999999999987</v>
      </c>
      <c r="P5" s="10" t="s">
        <v>0</v>
      </c>
      <c r="Q5" s="7"/>
    </row>
    <row r="6" spans="1:17" ht="15">
      <c r="A6" t="s">
        <v>41</v>
      </c>
      <c r="B6" s="1">
        <f>K11*K12*K10</f>
        <v>1.2</v>
      </c>
      <c r="C6" t="s">
        <v>2</v>
      </c>
      <c r="D6" s="36"/>
      <c r="E6" s="37"/>
      <c r="I6" s="3" t="s">
        <v>84</v>
      </c>
      <c r="J6" s="25" t="s">
        <v>45</v>
      </c>
      <c r="K6" s="24">
        <f>K12+2*0.6</f>
        <v>3.2</v>
      </c>
      <c r="L6" s="24" t="s">
        <v>0</v>
      </c>
      <c r="O6" s="6"/>
      <c r="P6" s="7"/>
      <c r="Q6" s="7"/>
    </row>
    <row r="7" spans="1:15" ht="13.8" customHeight="1">
      <c r="A7" t="s">
        <v>50</v>
      </c>
      <c r="B7" s="1">
        <f>2*K11*K13*K14+2*(K12-2*K14)*K13*K14-2*3.14*K17^2/4*K14</f>
        <v>4.2765680999999995</v>
      </c>
      <c r="C7" t="s">
        <v>2</v>
      </c>
      <c r="D7" s="36"/>
      <c r="E7" s="37"/>
      <c r="J7" s="25" t="s">
        <v>46</v>
      </c>
      <c r="K7" s="24">
        <f>K11+0.6+0.8</f>
        <v>3.4000000000000004</v>
      </c>
      <c r="L7" s="24" t="s">
        <v>0</v>
      </c>
      <c r="M7" s="9"/>
      <c r="N7" s="9"/>
      <c r="O7" s="3" t="s">
        <v>61</v>
      </c>
    </row>
    <row r="8" spans="1:17" ht="15">
      <c r="A8" t="s">
        <v>51</v>
      </c>
      <c r="B8" s="1">
        <f>(K11*K12-3.14*K19^2/4)*K15</f>
        <v>0.9644999999999999</v>
      </c>
      <c r="C8" t="s">
        <v>2</v>
      </c>
      <c r="D8" s="36"/>
      <c r="E8" s="37"/>
      <c r="I8" s="3" t="s">
        <v>38</v>
      </c>
      <c r="J8" s="25" t="s">
        <v>45</v>
      </c>
      <c r="K8" s="24">
        <v>3.2</v>
      </c>
      <c r="L8" s="24" t="s">
        <v>0</v>
      </c>
      <c r="M8" s="9"/>
      <c r="O8" s="3" t="s">
        <v>62</v>
      </c>
      <c r="P8" s="25">
        <v>0.2</v>
      </c>
      <c r="Q8" s="24" t="s">
        <v>0</v>
      </c>
    </row>
    <row r="9" spans="1:17" ht="15">
      <c r="A9" t="s">
        <v>44</v>
      </c>
      <c r="B9" s="1">
        <f>N11*N12*(P8+P9)-(3.14*(P9^2/4)/2)*N11</f>
        <v>0.9869323624999999</v>
      </c>
      <c r="C9" t="s">
        <v>2</v>
      </c>
      <c r="D9" s="36"/>
      <c r="E9" s="37"/>
      <c r="J9" s="25" t="s">
        <v>46</v>
      </c>
      <c r="K9" s="24">
        <v>3.4</v>
      </c>
      <c r="L9" s="24" t="s">
        <v>0</v>
      </c>
      <c r="M9" s="9"/>
      <c r="O9" s="22" t="s">
        <v>63</v>
      </c>
      <c r="P9" s="28">
        <f>K17/2</f>
        <v>0.335</v>
      </c>
      <c r="Q9" s="29" t="s">
        <v>0</v>
      </c>
    </row>
    <row r="10" spans="8:20" ht="15">
      <c r="H10" t="s">
        <v>39</v>
      </c>
      <c r="I10" s="3" t="s">
        <v>96</v>
      </c>
      <c r="J10" s="25" t="s">
        <v>47</v>
      </c>
      <c r="K10" s="24">
        <v>0.3</v>
      </c>
      <c r="L10" s="24" t="s">
        <v>0</v>
      </c>
      <c r="M10" s="9"/>
      <c r="N10" s="9"/>
      <c r="O10" s="9"/>
      <c r="T10" s="38"/>
    </row>
    <row r="11" spans="1:15" ht="15">
      <c r="A11" t="s">
        <v>162</v>
      </c>
      <c r="B11" s="1">
        <f>(K6+K7)*2*E11</f>
        <v>42.503999999999834</v>
      </c>
      <c r="C11" s="1" t="s">
        <v>5</v>
      </c>
      <c r="D11" s="36" t="s">
        <v>177</v>
      </c>
      <c r="E11" s="37">
        <f>K5-1.2</f>
        <v>3.2199999999999873</v>
      </c>
      <c r="F11" s="37" t="s">
        <v>0</v>
      </c>
      <c r="J11" s="25" t="s">
        <v>46</v>
      </c>
      <c r="K11" s="26">
        <v>2</v>
      </c>
      <c r="L11" s="24" t="s">
        <v>0</v>
      </c>
      <c r="M11" s="9" t="s">
        <v>64</v>
      </c>
      <c r="N11" s="6">
        <f>K11-2*K14</f>
        <v>1.4</v>
      </c>
      <c r="O11" s="10" t="s">
        <v>0</v>
      </c>
    </row>
    <row r="12" spans="1:15" ht="15">
      <c r="A12" s="21"/>
      <c r="B12" s="1"/>
      <c r="D12" s="65" t="s">
        <v>178</v>
      </c>
      <c r="E12" s="37"/>
      <c r="F12" s="37"/>
      <c r="J12" s="25" t="s">
        <v>45</v>
      </c>
      <c r="K12" s="26">
        <v>2</v>
      </c>
      <c r="L12" s="24" t="s">
        <v>0</v>
      </c>
      <c r="M12" s="9"/>
      <c r="N12" s="6">
        <f>K12-2*K14</f>
        <v>1.4</v>
      </c>
      <c r="O12" s="10" t="s">
        <v>0</v>
      </c>
    </row>
    <row r="13" spans="1:15" ht="15">
      <c r="A13" t="s">
        <v>65</v>
      </c>
      <c r="B13" s="1">
        <f>B5+(K11*K12)*(K5-K4-K10-0.1)+K38-3.14*0.625^2/4*K4</f>
        <v>16.617973873749946</v>
      </c>
      <c r="C13" t="s">
        <v>2</v>
      </c>
      <c r="E13" s="20"/>
      <c r="F13" s="1"/>
      <c r="I13" s="3" t="s">
        <v>43</v>
      </c>
      <c r="J13" s="25" t="s">
        <v>48</v>
      </c>
      <c r="K13" s="24">
        <v>2.2</v>
      </c>
      <c r="L13" s="24" t="s">
        <v>0</v>
      </c>
      <c r="M13" s="9"/>
      <c r="N13" s="9"/>
      <c r="O13" s="9"/>
    </row>
    <row r="14" spans="1:14" ht="15">
      <c r="A14" t="s">
        <v>66</v>
      </c>
      <c r="B14" s="1">
        <f>B3-B13</f>
        <v>35.311526126249895</v>
      </c>
      <c r="C14" t="s">
        <v>2</v>
      </c>
      <c r="I14" s="3" t="s">
        <v>52</v>
      </c>
      <c r="J14" s="25" t="s">
        <v>47</v>
      </c>
      <c r="K14" s="24">
        <v>0.3</v>
      </c>
      <c r="L14" s="24" t="s">
        <v>0</v>
      </c>
      <c r="M14" s="9"/>
      <c r="N14" s="9"/>
    </row>
    <row r="15" spans="9:15" ht="15">
      <c r="I15" s="3" t="s">
        <v>42</v>
      </c>
      <c r="J15" s="25" t="s">
        <v>47</v>
      </c>
      <c r="K15" s="24">
        <v>0.3</v>
      </c>
      <c r="L15" s="24" t="s">
        <v>0</v>
      </c>
      <c r="O15" s="9"/>
    </row>
    <row r="16" spans="1:4" ht="15">
      <c r="A16" s="11" t="s">
        <v>49</v>
      </c>
      <c r="B16" s="12">
        <f>5.22*5.42</f>
        <v>28.292399999999997</v>
      </c>
      <c r="C16" s="1" t="s">
        <v>5</v>
      </c>
      <c r="D16" s="65" t="s">
        <v>179</v>
      </c>
    </row>
    <row r="17" spans="1:15" ht="15">
      <c r="A17" s="21" t="s">
        <v>146</v>
      </c>
      <c r="B17" s="1">
        <f>(K6+2*((O5*K2)+0.15+0.3+0.15+0.15+0.07+0.1+0.04))*(K7+2*(0.15+0.3+0.15+0.15+0.07+0.1+0.04))</f>
        <v>27.238400000000002</v>
      </c>
      <c r="C17" s="1" t="s">
        <v>5</v>
      </c>
      <c r="D17" s="7"/>
      <c r="E17" s="13"/>
      <c r="H17" s="25" t="s">
        <v>53</v>
      </c>
      <c r="I17" s="25">
        <v>500</v>
      </c>
      <c r="J17" s="3" t="s">
        <v>54</v>
      </c>
      <c r="K17" s="3">
        <f>I17*0.001+2*N18</f>
        <v>0.67</v>
      </c>
      <c r="L17" t="s">
        <v>0</v>
      </c>
      <c r="M17" s="10" t="s">
        <v>165</v>
      </c>
      <c r="N17" s="9"/>
      <c r="O17" s="7"/>
    </row>
    <row r="18" spans="1:15" ht="15">
      <c r="A18" s="21" t="s">
        <v>147</v>
      </c>
      <c r="B18" s="1">
        <f>(K6+2*((O5*K2)+0.15+0.3+0.15+0.15+0.07))*(K7+2*(0.15+0.3+0.15+0.15+0.07))</f>
        <v>24.393600000000003</v>
      </c>
      <c r="C18" s="1" t="s">
        <v>5</v>
      </c>
      <c r="D18" s="7"/>
      <c r="M18" s="19" t="s">
        <v>134</v>
      </c>
      <c r="N18" s="19">
        <v>0.085</v>
      </c>
      <c r="O18" s="53" t="s">
        <v>0</v>
      </c>
    </row>
    <row r="19" spans="1:14" ht="15">
      <c r="A19" s="22" t="s">
        <v>150</v>
      </c>
      <c r="B19" s="1">
        <f>(K6+2*(O5*K2)+0.15+0.3+0.15)*(K7+2*(0.15+0.3+0.15))</f>
        <v>17.48</v>
      </c>
      <c r="C19" s="1" t="s">
        <v>5</v>
      </c>
      <c r="I19" s="3" t="s">
        <v>56</v>
      </c>
      <c r="J19" s="25" t="s">
        <v>86</v>
      </c>
      <c r="K19" s="26">
        <v>1</v>
      </c>
      <c r="L19" s="24" t="s">
        <v>0</v>
      </c>
      <c r="M19" s="7"/>
      <c r="N19" s="7"/>
    </row>
    <row r="20" spans="1:12" ht="15">
      <c r="A20" s="22" t="s">
        <v>148</v>
      </c>
      <c r="B20" s="1">
        <f>(K6+2*O5*K2)*K7</f>
        <v>10.880000000000003</v>
      </c>
      <c r="C20" s="1" t="s">
        <v>5</v>
      </c>
      <c r="J20" s="41"/>
      <c r="K20" s="42"/>
      <c r="L20" s="23"/>
    </row>
    <row r="21" spans="9:20" ht="15">
      <c r="I21" s="3" t="s">
        <v>58</v>
      </c>
      <c r="J21" s="28" t="s">
        <v>59</v>
      </c>
      <c r="K21" s="30">
        <f>K5-0.1-K10-K15-K13</f>
        <v>1.519999999999988</v>
      </c>
      <c r="L21" s="29" t="s">
        <v>0</v>
      </c>
      <c r="M21" s="10" t="s">
        <v>180</v>
      </c>
      <c r="T21" s="45" t="s">
        <v>91</v>
      </c>
    </row>
    <row r="22" spans="1:3" ht="15">
      <c r="A22" t="s">
        <v>155</v>
      </c>
      <c r="B22" s="1">
        <f>2*(K11*K10+K12*K10)</f>
        <v>2.4</v>
      </c>
      <c r="C22" s="1" t="s">
        <v>5</v>
      </c>
    </row>
    <row r="23" spans="1:12" ht="15">
      <c r="A23" t="s">
        <v>152</v>
      </c>
      <c r="B23" s="1">
        <f>2*K13*K11+2*K12*K13+2*N11*K13+2*N12*K13</f>
        <v>29.92</v>
      </c>
      <c r="C23" s="1" t="s">
        <v>5</v>
      </c>
      <c r="I23" s="3" t="s">
        <v>60</v>
      </c>
      <c r="J23" s="25" t="s">
        <v>59</v>
      </c>
      <c r="K23" s="26">
        <v>0.16</v>
      </c>
      <c r="L23" s="24" t="s">
        <v>0</v>
      </c>
    </row>
    <row r="24" spans="1:12" ht="15">
      <c r="A24" t="s">
        <v>153</v>
      </c>
      <c r="B24" s="1">
        <f>K11*K12-3.14*K19^2/4+2*(K11+K12)*K15+3.14*K19*K15</f>
        <v>6.557</v>
      </c>
      <c r="C24" s="1" t="s">
        <v>5</v>
      </c>
      <c r="L24" s="18"/>
    </row>
    <row r="26" spans="1:3" ht="15">
      <c r="A26" t="s">
        <v>173</v>
      </c>
      <c r="B26">
        <v>6</v>
      </c>
      <c r="C26" s="1" t="s">
        <v>70</v>
      </c>
    </row>
    <row r="27" spans="1:3" ht="15">
      <c r="A27" t="s">
        <v>230</v>
      </c>
      <c r="B27">
        <v>1</v>
      </c>
      <c r="C27" s="1" t="s">
        <v>70</v>
      </c>
    </row>
    <row r="28" spans="1:4" ht="15">
      <c r="A28" t="s">
        <v>236</v>
      </c>
      <c r="B28">
        <v>2.6</v>
      </c>
      <c r="C28" s="1" t="s">
        <v>0</v>
      </c>
      <c r="D28" s="1" t="s">
        <v>232</v>
      </c>
    </row>
    <row r="29" spans="1:4" ht="15">
      <c r="A29" t="s">
        <v>233</v>
      </c>
      <c r="B29">
        <v>1.3</v>
      </c>
      <c r="C29" s="1" t="s">
        <v>0</v>
      </c>
      <c r="D29" s="65" t="s">
        <v>255</v>
      </c>
    </row>
    <row r="30" spans="1:5" ht="15">
      <c r="A30" t="s">
        <v>97</v>
      </c>
      <c r="B30">
        <v>1</v>
      </c>
      <c r="C30" s="1" t="s">
        <v>70</v>
      </c>
      <c r="E30" s="65" t="s">
        <v>256</v>
      </c>
    </row>
    <row r="31" spans="1:3" ht="15">
      <c r="A31" t="s">
        <v>231</v>
      </c>
      <c r="B31">
        <v>1</v>
      </c>
      <c r="C31" s="1" t="s">
        <v>70</v>
      </c>
    </row>
    <row r="32" ht="15">
      <c r="A32" s="3" t="s">
        <v>143</v>
      </c>
    </row>
    <row r="33" spans="1:15" ht="15">
      <c r="A33" s="41" t="s">
        <v>87</v>
      </c>
      <c r="B33" s="24">
        <v>0.5</v>
      </c>
      <c r="C33" s="24" t="s">
        <v>0</v>
      </c>
      <c r="D33" s="24">
        <v>1</v>
      </c>
      <c r="E33" s="23" t="s">
        <v>88</v>
      </c>
      <c r="H33" s="19" t="s">
        <v>92</v>
      </c>
      <c r="I33" s="7" t="s">
        <v>93</v>
      </c>
      <c r="K33" s="1">
        <f>3.14*(1+N33*2)^2/4*B33</f>
        <v>0.603508</v>
      </c>
      <c r="L33" t="s">
        <v>2</v>
      </c>
      <c r="M33" s="24" t="s">
        <v>94</v>
      </c>
      <c r="N33" s="24">
        <v>0.12</v>
      </c>
      <c r="O33" s="24" t="s">
        <v>0</v>
      </c>
    </row>
    <row r="34" spans="1:15" ht="15">
      <c r="A34" s="41" t="s">
        <v>89</v>
      </c>
      <c r="B34" s="24">
        <v>0.58</v>
      </c>
      <c r="C34" s="24" t="s">
        <v>0</v>
      </c>
      <c r="D34" s="24">
        <v>1</v>
      </c>
      <c r="E34" s="23" t="s">
        <v>88</v>
      </c>
      <c r="K34" s="1">
        <f>1/12*3.14*B34*((1+2*N34)^2+(1+2*N34)*(0.625+2*N34)+(0.625+2*N34)^2)</f>
        <v>0.5096969674999999</v>
      </c>
      <c r="L34" t="s">
        <v>2</v>
      </c>
      <c r="M34" s="24" t="s">
        <v>94</v>
      </c>
      <c r="N34" s="24">
        <v>0.12</v>
      </c>
      <c r="O34" s="24" t="s">
        <v>0</v>
      </c>
    </row>
    <row r="35" spans="1:15" ht="15">
      <c r="A35" s="57" t="s">
        <v>167</v>
      </c>
      <c r="B35" s="62">
        <v>0.1</v>
      </c>
      <c r="C35" s="62" t="s">
        <v>0</v>
      </c>
      <c r="D35" s="24">
        <v>1</v>
      </c>
      <c r="E35" s="23" t="s">
        <v>88</v>
      </c>
      <c r="K35" s="31">
        <f>3.14*(0.625+2*N35)^2/4*B35</f>
        <v>0.05342906249999999</v>
      </c>
      <c r="L35" s="32" t="s">
        <v>2</v>
      </c>
      <c r="M35" s="24" t="s">
        <v>94</v>
      </c>
      <c r="N35" s="24">
        <v>0.1</v>
      </c>
      <c r="O35" s="24" t="s">
        <v>0</v>
      </c>
    </row>
    <row r="36" spans="1:15" ht="15">
      <c r="A36" s="57"/>
      <c r="B36" s="62">
        <v>0.1</v>
      </c>
      <c r="C36" s="62" t="s">
        <v>0</v>
      </c>
      <c r="D36" s="24">
        <v>1</v>
      </c>
      <c r="E36" s="23" t="s">
        <v>88</v>
      </c>
      <c r="K36" s="31">
        <f>3.14*(0.625+2*N36)^2/4*B36</f>
        <v>0.05342906249999999</v>
      </c>
      <c r="L36" s="32" t="s">
        <v>2</v>
      </c>
      <c r="M36" s="24" t="s">
        <v>94</v>
      </c>
      <c r="N36" s="24">
        <v>0.1</v>
      </c>
      <c r="O36" s="24" t="s">
        <v>0</v>
      </c>
    </row>
    <row r="37" spans="1:12" ht="15">
      <c r="A37" s="59" t="s">
        <v>90</v>
      </c>
      <c r="B37" s="60">
        <f>G37+B33*D33+B34*D34+B35*D35+B36*D36+K23</f>
        <v>1.51</v>
      </c>
      <c r="C37" s="61" t="s">
        <v>0</v>
      </c>
      <c r="F37" s="59" t="s">
        <v>254</v>
      </c>
      <c r="G37" s="60">
        <v>0.07</v>
      </c>
      <c r="H37" s="61" t="s">
        <v>0</v>
      </c>
      <c r="J37" s="6" t="s">
        <v>95</v>
      </c>
      <c r="K37" s="46">
        <f>3.14*0.625^2/4*K23</f>
        <v>0.0490625</v>
      </c>
      <c r="L37" s="4" t="s">
        <v>2</v>
      </c>
    </row>
    <row r="38" spans="10:19" ht="15">
      <c r="J38" s="6" t="s">
        <v>90</v>
      </c>
      <c r="K38" s="44">
        <f>K33*D33+K34*D34+K35*D35+K37</f>
        <v>1.21569653</v>
      </c>
      <c r="L38" s="43" t="s">
        <v>2</v>
      </c>
      <c r="Q38" s="58" t="s">
        <v>144</v>
      </c>
      <c r="R38" s="45">
        <f>K21-B37</f>
        <v>0.009999999999988018</v>
      </c>
      <c r="S38" s="43" t="s">
        <v>0</v>
      </c>
    </row>
    <row r="39" spans="1:3" ht="15">
      <c r="A39" t="s">
        <v>71</v>
      </c>
      <c r="B39">
        <f>N11</f>
        <v>1.4</v>
      </c>
      <c r="C39" s="1" t="s">
        <v>0</v>
      </c>
    </row>
    <row r="40" ht="15">
      <c r="A40" s="77" t="s">
        <v>270</v>
      </c>
    </row>
    <row r="41" ht="15">
      <c r="A41" s="77" t="s">
        <v>265</v>
      </c>
    </row>
    <row r="43" spans="1:2" ht="15">
      <c r="A43" t="s">
        <v>72</v>
      </c>
      <c r="B43" s="5" t="s">
        <v>274</v>
      </c>
    </row>
    <row r="44" ht="15">
      <c r="A44" s="65"/>
    </row>
    <row r="45" ht="15">
      <c r="A45" s="14" t="s">
        <v>238</v>
      </c>
    </row>
    <row r="46" ht="15">
      <c r="A46" s="76" t="s">
        <v>237</v>
      </c>
    </row>
  </sheetData>
  <hyperlinks>
    <hyperlink ref="A46" r:id="rId1" display="https://www.buesch.com/uploads/media/buesch-mas-ovl--dac---sada-2-cs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9"/>
  <sheetViews>
    <sheetView view="pageBreakPreview" zoomScale="120" zoomScaleSheetLayoutView="120" workbookViewId="0" topLeftCell="A1">
      <selection activeCell="B21" sqref="B21"/>
    </sheetView>
  </sheetViews>
  <sheetFormatPr defaultColWidth="9.140625" defaultRowHeight="15"/>
  <cols>
    <col min="1" max="1" width="49.140625" style="0" customWidth="1"/>
    <col min="3" max="5" width="8.8515625" style="1" customWidth="1"/>
  </cols>
  <sheetData>
    <row r="1" ht="15">
      <c r="A1" s="33" t="s">
        <v>170</v>
      </c>
    </row>
    <row r="2" spans="1:11" ht="15">
      <c r="A2" t="s">
        <v>200</v>
      </c>
      <c r="B2" s="1">
        <f>SUM(B3:B6)</f>
        <v>23.554</v>
      </c>
      <c r="C2" t="s">
        <v>2</v>
      </c>
      <c r="D2" s="1" t="s">
        <v>246</v>
      </c>
      <c r="I2" s="24" t="s">
        <v>3</v>
      </c>
      <c r="J2" s="24"/>
      <c r="K2" s="24">
        <v>0.5</v>
      </c>
    </row>
    <row r="3" spans="1:17" ht="15">
      <c r="A3" s="21" t="s">
        <v>201</v>
      </c>
      <c r="B3" s="1">
        <v>8.73</v>
      </c>
      <c r="C3" t="s">
        <v>2</v>
      </c>
      <c r="D3" s="1" t="s">
        <v>16</v>
      </c>
      <c r="O3" s="6"/>
      <c r="P3" s="7"/>
      <c r="Q3" s="7"/>
    </row>
    <row r="4" spans="1:17" ht="15">
      <c r="A4" s="21" t="s">
        <v>202</v>
      </c>
      <c r="B4" s="66">
        <v>14.5</v>
      </c>
      <c r="C4" t="s">
        <v>2</v>
      </c>
      <c r="D4" s="1" t="s">
        <v>16</v>
      </c>
      <c r="H4" t="s">
        <v>18</v>
      </c>
      <c r="I4" t="s">
        <v>8</v>
      </c>
      <c r="J4" s="24" t="s">
        <v>9</v>
      </c>
      <c r="K4" s="24">
        <v>0.7</v>
      </c>
      <c r="L4" s="24" t="s">
        <v>0</v>
      </c>
      <c r="O4" s="6"/>
      <c r="P4" s="7"/>
      <c r="Q4" s="7"/>
    </row>
    <row r="5" spans="1:17" ht="15">
      <c r="A5" s="21" t="s">
        <v>203</v>
      </c>
      <c r="B5" s="1">
        <f>2*(K13-0.4)*(K15-K18-K19)*K14</f>
        <v>0.252</v>
      </c>
      <c r="C5" t="s">
        <v>2</v>
      </c>
      <c r="D5" s="2"/>
      <c r="J5" s="24" t="s">
        <v>10</v>
      </c>
      <c r="K5" s="24">
        <f>K17+2*K14</f>
        <v>1.7999999999999998</v>
      </c>
      <c r="L5" s="24" t="s">
        <v>0</v>
      </c>
      <c r="O5" s="6"/>
      <c r="P5" s="7"/>
      <c r="Q5" s="7"/>
    </row>
    <row r="6" spans="1:17" ht="15">
      <c r="A6" s="21" t="s">
        <v>204</v>
      </c>
      <c r="B6" s="1">
        <f>K17*0.3*(0.6-K18-K19)</f>
        <v>0.072</v>
      </c>
      <c r="C6" t="s">
        <v>2</v>
      </c>
      <c r="D6" s="2"/>
      <c r="J6" s="24" t="s">
        <v>11</v>
      </c>
      <c r="K6" s="39">
        <f>2*0.4+N10</f>
        <v>1.405</v>
      </c>
      <c r="L6" s="24" t="s">
        <v>0</v>
      </c>
      <c r="M6" s="9" t="s">
        <v>104</v>
      </c>
      <c r="N6" s="24">
        <f>K6+K4*K7*2</f>
        <v>1.545</v>
      </c>
      <c r="O6" s="24" t="s">
        <v>0</v>
      </c>
      <c r="P6" s="7"/>
      <c r="Q6" s="7"/>
    </row>
    <row r="7" spans="2:17" ht="15">
      <c r="B7" s="1"/>
      <c r="C7"/>
      <c r="D7" s="2"/>
      <c r="I7" s="23"/>
      <c r="J7" s="25" t="s">
        <v>212</v>
      </c>
      <c r="K7" s="64">
        <v>0.1</v>
      </c>
      <c r="O7" s="6"/>
      <c r="P7" s="7"/>
      <c r="Q7" s="7"/>
    </row>
    <row r="8" spans="1:15" ht="15">
      <c r="A8" s="78" t="s">
        <v>250</v>
      </c>
      <c r="B8">
        <v>9</v>
      </c>
      <c r="C8" s="1" t="s">
        <v>5</v>
      </c>
      <c r="I8" t="s">
        <v>12</v>
      </c>
      <c r="J8" s="24" t="s">
        <v>9</v>
      </c>
      <c r="K8" s="24">
        <f>207.6-206.6+0.55</f>
        <v>1.55</v>
      </c>
      <c r="L8" s="24" t="s">
        <v>0</v>
      </c>
      <c r="M8" s="9"/>
      <c r="N8" s="9"/>
      <c r="O8" s="10"/>
    </row>
    <row r="9" spans="1:15" ht="15">
      <c r="A9" s="78" t="s">
        <v>247</v>
      </c>
      <c r="B9">
        <v>17.4</v>
      </c>
      <c r="C9" s="1" t="s">
        <v>5</v>
      </c>
      <c r="J9" s="24" t="s">
        <v>10</v>
      </c>
      <c r="K9" s="24">
        <f>K5</f>
        <v>1.7999999999999998</v>
      </c>
      <c r="L9" s="24" t="s">
        <v>0</v>
      </c>
      <c r="M9" s="9"/>
      <c r="N9" s="9"/>
      <c r="O9" s="9"/>
    </row>
    <row r="10" spans="1:15" ht="15">
      <c r="A10" s="78" t="s">
        <v>248</v>
      </c>
      <c r="B10">
        <v>48.6</v>
      </c>
      <c r="C10" s="1" t="s">
        <v>5</v>
      </c>
      <c r="J10" s="24" t="s">
        <v>11</v>
      </c>
      <c r="K10" s="24">
        <v>0.45</v>
      </c>
      <c r="L10" s="24" t="s">
        <v>0</v>
      </c>
      <c r="M10" s="9" t="s">
        <v>104</v>
      </c>
      <c r="N10" s="24">
        <f>0.45+K8*K11</f>
        <v>0.605</v>
      </c>
      <c r="O10" s="24" t="s">
        <v>0</v>
      </c>
    </row>
    <row r="11" spans="10:15" ht="15">
      <c r="J11" s="25" t="s">
        <v>19</v>
      </c>
      <c r="K11" s="64">
        <v>0.1</v>
      </c>
      <c r="M11" s="9"/>
      <c r="N11" s="9"/>
      <c r="O11" s="9"/>
    </row>
    <row r="12" spans="1:15" ht="15">
      <c r="A12" t="s">
        <v>243</v>
      </c>
      <c r="B12" s="1">
        <f>(K5*K6+K5*N6)/2*K4</f>
        <v>1.8584999999999998</v>
      </c>
      <c r="C12" t="s">
        <v>2</v>
      </c>
      <c r="I12" s="3" t="s">
        <v>205</v>
      </c>
      <c r="J12" s="24" t="s">
        <v>9</v>
      </c>
      <c r="K12" s="24">
        <v>0</v>
      </c>
      <c r="L12" s="24" t="s">
        <v>0</v>
      </c>
      <c r="M12" s="9" t="s">
        <v>104</v>
      </c>
      <c r="N12" s="24">
        <v>1</v>
      </c>
      <c r="O12" s="24" t="s">
        <v>0</v>
      </c>
    </row>
    <row r="13" spans="1:15" ht="15">
      <c r="A13" t="s">
        <v>242</v>
      </c>
      <c r="B13" s="1">
        <f>K8*K9*(K10+N10)/2-K25</f>
        <v>1.2039049799999997</v>
      </c>
      <c r="C13" t="s">
        <v>2</v>
      </c>
      <c r="J13" s="24" t="s">
        <v>10</v>
      </c>
      <c r="K13" s="24">
        <v>2.5</v>
      </c>
      <c r="L13" s="24" t="s">
        <v>0</v>
      </c>
      <c r="M13" s="10" t="s">
        <v>211</v>
      </c>
      <c r="N13" s="9"/>
      <c r="O13" s="9"/>
    </row>
    <row r="14" spans="1:15" ht="15">
      <c r="A14" t="s">
        <v>218</v>
      </c>
      <c r="B14" s="1">
        <f>2*(K13*K14*(K12+K15+N12+K15)/2)</f>
        <v>1.6500000000000001</v>
      </c>
      <c r="C14" t="s">
        <v>2</v>
      </c>
      <c r="E14" s="20"/>
      <c r="F14" s="1"/>
      <c r="J14" s="24" t="s">
        <v>11</v>
      </c>
      <c r="K14" s="24">
        <v>0.3</v>
      </c>
      <c r="L14" s="24" t="s">
        <v>0</v>
      </c>
      <c r="M14" s="9"/>
      <c r="N14" s="9"/>
      <c r="O14" s="9"/>
    </row>
    <row r="15" spans="5:14" ht="15">
      <c r="E15" s="20"/>
      <c r="I15" s="3" t="s">
        <v>206</v>
      </c>
      <c r="J15" s="24" t="s">
        <v>9</v>
      </c>
      <c r="K15" s="24">
        <v>0.6</v>
      </c>
      <c r="L15" s="24" t="s">
        <v>0</v>
      </c>
      <c r="M15" s="9"/>
      <c r="N15" s="9"/>
    </row>
    <row r="16" spans="1:15" ht="15">
      <c r="A16" s="11" t="s">
        <v>23</v>
      </c>
      <c r="B16" s="12">
        <f>K17*K16</f>
        <v>2.64</v>
      </c>
      <c r="C16" s="1" t="s">
        <v>5</v>
      </c>
      <c r="D16" s="7"/>
      <c r="I16" s="3" t="s">
        <v>207</v>
      </c>
      <c r="J16" s="24" t="s">
        <v>10</v>
      </c>
      <c r="K16" s="24">
        <f>K13-0.3</f>
        <v>2.2</v>
      </c>
      <c r="L16" s="24" t="s">
        <v>0</v>
      </c>
      <c r="M16" s="10" t="s">
        <v>210</v>
      </c>
      <c r="O16" s="9"/>
    </row>
    <row r="17" spans="1:12" ht="15">
      <c r="A17" t="s">
        <v>222</v>
      </c>
      <c r="B17" s="1">
        <f>(K17+2*0.3)*0.6*0.3</f>
        <v>0.32399999999999995</v>
      </c>
      <c r="C17" t="s">
        <v>2</v>
      </c>
      <c r="D17" s="7"/>
      <c r="J17" s="24" t="s">
        <v>11</v>
      </c>
      <c r="K17" s="24">
        <v>1.2</v>
      </c>
      <c r="L17" s="24" t="s">
        <v>0</v>
      </c>
    </row>
    <row r="18" spans="10:12" ht="15">
      <c r="J18" s="24" t="s">
        <v>208</v>
      </c>
      <c r="K18" s="24">
        <v>0.25</v>
      </c>
      <c r="L18" s="24" t="s">
        <v>0</v>
      </c>
    </row>
    <row r="19" spans="1:12" ht="15">
      <c r="A19" t="s">
        <v>249</v>
      </c>
      <c r="B19">
        <f>B10+B8-(K13+K10)*(K17+2*K14)</f>
        <v>52.29</v>
      </c>
      <c r="C19" s="1" t="s">
        <v>5</v>
      </c>
      <c r="E19" s="13"/>
      <c r="J19" s="24" t="s">
        <v>209</v>
      </c>
      <c r="K19" s="24">
        <v>0.15</v>
      </c>
      <c r="L19" s="24" t="s">
        <v>0</v>
      </c>
    </row>
    <row r="21" spans="1:15" ht="15">
      <c r="A21" t="s">
        <v>32</v>
      </c>
      <c r="B21" s="1">
        <f>B12+B13+K25+B14+B16*(K18+K19)+(K17*K16*(K12+N12)/2)+B17</f>
        <v>7.680224999999999</v>
      </c>
      <c r="C21" t="s">
        <v>2</v>
      </c>
      <c r="H21" t="s">
        <v>213</v>
      </c>
      <c r="I21" s="25" t="s">
        <v>214</v>
      </c>
      <c r="J21" s="25" t="s">
        <v>215</v>
      </c>
      <c r="K21" s="24">
        <v>600</v>
      </c>
      <c r="M21" s="9" t="s">
        <v>54</v>
      </c>
      <c r="N21" s="24">
        <f>K21*0.001</f>
        <v>0.6</v>
      </c>
      <c r="O21" s="24" t="s">
        <v>0</v>
      </c>
    </row>
    <row r="22" spans="10:12" ht="15">
      <c r="J22" s="7" t="s">
        <v>22</v>
      </c>
      <c r="K22" s="19">
        <v>0.105</v>
      </c>
      <c r="L22" s="7" t="s">
        <v>0</v>
      </c>
    </row>
    <row r="23" spans="1:12" ht="15">
      <c r="A23" t="s">
        <v>219</v>
      </c>
      <c r="B23" s="1">
        <f>2*K5*K4+2*K6*K4</f>
        <v>4.486999999999999</v>
      </c>
      <c r="C23" s="1" t="s">
        <v>5</v>
      </c>
      <c r="J23" s="6" t="s">
        <v>217</v>
      </c>
      <c r="K23" s="7">
        <v>0.55</v>
      </c>
      <c r="L23" s="7" t="s">
        <v>0</v>
      </c>
    </row>
    <row r="24" spans="1:13" ht="15">
      <c r="A24" t="s">
        <v>220</v>
      </c>
      <c r="B24" s="1">
        <f>2*K9*K8+2*K8*(K10+N10)/2</f>
        <v>7.215249999999999</v>
      </c>
      <c r="C24" s="1" t="s">
        <v>5</v>
      </c>
      <c r="J24" s="7" t="s">
        <v>216</v>
      </c>
      <c r="K24" s="7">
        <f>N10-(K23+N21/2)*K7</f>
        <v>0.52</v>
      </c>
      <c r="L24" s="7" t="s">
        <v>0</v>
      </c>
      <c r="M24" s="7"/>
    </row>
    <row r="25" spans="1:14" ht="15">
      <c r="A25" t="s">
        <v>221</v>
      </c>
      <c r="B25" s="1">
        <f>4*(K12+K15+N12+K15)/2*K13</f>
        <v>11</v>
      </c>
      <c r="C25" s="1" t="s">
        <v>5</v>
      </c>
      <c r="J25" s="14" t="s">
        <v>13</v>
      </c>
      <c r="K25" s="44">
        <f>3.14*((N21+2*K22)^2)/4*K24</f>
        <v>0.26782002</v>
      </c>
      <c r="L25" s="7" t="s">
        <v>2</v>
      </c>
      <c r="M25" s="7"/>
      <c r="N25" s="7"/>
    </row>
    <row r="26" spans="1:3" ht="15">
      <c r="A26" t="s">
        <v>223</v>
      </c>
      <c r="B26" s="1">
        <f>2*K9*0.6+2*0.3*0.6</f>
        <v>2.5199999999999996</v>
      </c>
      <c r="C26" s="1" t="s">
        <v>5</v>
      </c>
    </row>
    <row r="27" spans="13:15" ht="15">
      <c r="M27" s="6"/>
      <c r="N27" s="7"/>
      <c r="O27" s="7"/>
    </row>
    <row r="28" spans="1:15" ht="15">
      <c r="A28" t="s">
        <v>235</v>
      </c>
      <c r="B28">
        <v>1</v>
      </c>
      <c r="C28" s="1" t="s">
        <v>70</v>
      </c>
      <c r="M28" s="6"/>
      <c r="N28" s="7"/>
      <c r="O28" s="7"/>
    </row>
    <row r="29" ht="15">
      <c r="A29" s="7" t="s">
        <v>234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5"/>
  <sheetViews>
    <sheetView view="pageBreakPreview" zoomScaleSheetLayoutView="100" workbookViewId="0" topLeftCell="A19">
      <selection activeCell="G59" sqref="G59"/>
    </sheetView>
  </sheetViews>
  <sheetFormatPr defaultColWidth="9.140625" defaultRowHeight="15"/>
  <cols>
    <col min="1" max="1" width="49.00390625" style="0" customWidth="1"/>
    <col min="3" max="5" width="8.8515625" style="1" customWidth="1"/>
  </cols>
  <sheetData>
    <row r="1" spans="1:13" ht="15">
      <c r="A1" s="33" t="s">
        <v>169</v>
      </c>
      <c r="M1" s="68" t="s">
        <v>188</v>
      </c>
    </row>
    <row r="2" spans="1:17" ht="15">
      <c r="A2" t="s">
        <v>33</v>
      </c>
      <c r="B2" s="1"/>
      <c r="C2"/>
      <c r="J2" s="3" t="s">
        <v>35</v>
      </c>
      <c r="K2" s="24">
        <v>0</v>
      </c>
      <c r="L2" s="24"/>
      <c r="M2" s="68" t="s">
        <v>189</v>
      </c>
      <c r="N2" s="69"/>
      <c r="O2" s="70">
        <v>1.2</v>
      </c>
      <c r="P2" s="71" t="s">
        <v>0</v>
      </c>
      <c r="Q2" s="68" t="s">
        <v>193</v>
      </c>
    </row>
    <row r="3" spans="1:17" ht="15">
      <c r="A3" s="19" t="s">
        <v>182</v>
      </c>
      <c r="B3" s="44">
        <f>(K6+2*K3)*(K7+2*K3)*(K5-K4)</f>
        <v>54.36470000000026</v>
      </c>
      <c r="C3" s="7" t="s">
        <v>2</v>
      </c>
      <c r="D3" s="34"/>
      <c r="E3" s="34"/>
      <c r="J3" t="s">
        <v>36</v>
      </c>
      <c r="K3" s="24">
        <v>0.15</v>
      </c>
      <c r="L3" s="24" t="s">
        <v>0</v>
      </c>
      <c r="M3" s="68" t="s">
        <v>192</v>
      </c>
      <c r="N3" s="69"/>
      <c r="O3" s="70">
        <v>1</v>
      </c>
      <c r="P3" s="71" t="s">
        <v>0</v>
      </c>
      <c r="Q3" s="68" t="s">
        <v>191</v>
      </c>
    </row>
    <row r="4" spans="1:17" ht="15">
      <c r="A4" s="19" t="s">
        <v>183</v>
      </c>
      <c r="B4" s="44">
        <f>(3.14*(O2+2*0.2)^2)/4*(O3+0.3+0.25)+(3.14*(1+2*0.12)^2)/4*(O4-K23-B38)+(3.14*((1+2*0.12)^2+(0.625+2*0.12)^2)/2)/4*B38-E4</f>
        <v>2.969001880000002</v>
      </c>
      <c r="C4" s="7" t="s">
        <v>185</v>
      </c>
      <c r="D4" s="67" t="s">
        <v>186</v>
      </c>
      <c r="E4" s="44">
        <f>(3.14*O2^2)/4*O3+(3.14*1^2)/4*(O4-K23-B38)+(3.14*(1^2+0.625^2)/2)/4*B38</f>
        <v>2.899225781250003</v>
      </c>
      <c r="F4" s="7" t="s">
        <v>187</v>
      </c>
      <c r="J4" s="3" t="s">
        <v>37</v>
      </c>
      <c r="K4" s="24">
        <f>0.04+0.07+0.15+0.15</f>
        <v>0.41000000000000003</v>
      </c>
      <c r="L4" s="24" t="s">
        <v>0</v>
      </c>
      <c r="M4" s="68" t="s">
        <v>190</v>
      </c>
      <c r="N4" s="69"/>
      <c r="O4" s="70">
        <f>211.24-207.4-O3-0.25</f>
        <v>2.5900000000000034</v>
      </c>
      <c r="P4" s="71" t="s">
        <v>0</v>
      </c>
      <c r="Q4" s="68" t="s">
        <v>252</v>
      </c>
    </row>
    <row r="5" spans="1:17" ht="15">
      <c r="A5" s="19" t="s">
        <v>194</v>
      </c>
      <c r="B5" s="44">
        <f>(3.14*(K17^2)/4)*(0.6+K3)*2+(3.14*(K18^2)/4)*(0.6+K3)-E5</f>
        <v>1.0605586481250002</v>
      </c>
      <c r="C5" s="7" t="s">
        <v>185</v>
      </c>
      <c r="D5" s="67" t="s">
        <v>186</v>
      </c>
      <c r="E5" s="44">
        <f>3.14*((I17*0.001)^2)/4*((0.6+K3)*2+3.14*((I18*0.001)^2)/4)*(0.6+K3)</f>
        <v>0.749023351875</v>
      </c>
      <c r="F5" s="7" t="s">
        <v>187</v>
      </c>
      <c r="J5" s="3" t="s">
        <v>4</v>
      </c>
      <c r="K5" s="39">
        <f>211.24-207.2+0.3+0.1</f>
        <v>4.44000000000002</v>
      </c>
      <c r="L5" s="24" t="s">
        <v>0</v>
      </c>
      <c r="M5" s="7" t="s">
        <v>85</v>
      </c>
      <c r="O5" s="40">
        <f>K5-K4</f>
        <v>4.03000000000002</v>
      </c>
      <c r="P5" s="10" t="s">
        <v>0</v>
      </c>
      <c r="Q5" s="7"/>
    </row>
    <row r="6" spans="1:17" ht="15">
      <c r="A6" s="21" t="s">
        <v>184</v>
      </c>
      <c r="B6" s="79">
        <f>B3-B4-E4-B5-E5</f>
        <v>46.68689033875025</v>
      </c>
      <c r="C6" t="s">
        <v>2</v>
      </c>
      <c r="I6" s="3" t="s">
        <v>253</v>
      </c>
      <c r="J6" s="25" t="s">
        <v>45</v>
      </c>
      <c r="K6" s="24">
        <f>K8+2*0.6</f>
        <v>3.25</v>
      </c>
      <c r="L6" s="24" t="s">
        <v>0</v>
      </c>
      <c r="O6" s="6"/>
      <c r="P6" s="7"/>
      <c r="Q6" s="7"/>
    </row>
    <row r="7" spans="1:15" ht="13.8" customHeight="1">
      <c r="A7" t="s">
        <v>40</v>
      </c>
      <c r="B7" s="1">
        <f>0.1*K8*K9</f>
        <v>0.47150000000000014</v>
      </c>
      <c r="C7" t="s">
        <v>2</v>
      </c>
      <c r="D7" s="36"/>
      <c r="E7" s="37"/>
      <c r="J7" s="25" t="s">
        <v>46</v>
      </c>
      <c r="K7" s="24">
        <f>K9+2*0.6</f>
        <v>3.5</v>
      </c>
      <c r="L7" s="24" t="s">
        <v>0</v>
      </c>
      <c r="M7" s="9"/>
      <c r="N7" s="9"/>
      <c r="O7" s="3" t="s">
        <v>61</v>
      </c>
    </row>
    <row r="8" spans="1:17" ht="15">
      <c r="A8" t="s">
        <v>251</v>
      </c>
      <c r="B8" s="1">
        <f>K11*K12*K10</f>
        <v>1.1655</v>
      </c>
      <c r="C8" t="s">
        <v>2</v>
      </c>
      <c r="D8" s="36"/>
      <c r="E8" s="37"/>
      <c r="I8" s="3" t="s">
        <v>38</v>
      </c>
      <c r="J8" s="25" t="s">
        <v>45</v>
      </c>
      <c r="K8" s="24">
        <f>K12+2*0.1</f>
        <v>2.0500000000000003</v>
      </c>
      <c r="L8" s="24" t="s">
        <v>0</v>
      </c>
      <c r="M8" s="9"/>
      <c r="O8" s="3" t="s">
        <v>62</v>
      </c>
      <c r="P8" s="25">
        <v>0.2</v>
      </c>
      <c r="Q8" s="24" t="s">
        <v>0</v>
      </c>
    </row>
    <row r="9" spans="1:17" ht="15">
      <c r="A9" t="s">
        <v>50</v>
      </c>
      <c r="B9" s="1">
        <f>2*K11*K13*K14+2*(K12-2*K14)*K13*K14-2*3.14*K17^2/4*K14</f>
        <v>3.3417599999999994</v>
      </c>
      <c r="C9" t="s">
        <v>2</v>
      </c>
      <c r="D9" s="36"/>
      <c r="E9" s="37"/>
      <c r="J9" s="25" t="s">
        <v>46</v>
      </c>
      <c r="K9" s="24">
        <f>K11+2*0.1</f>
        <v>2.3000000000000003</v>
      </c>
      <c r="L9" s="24" t="s">
        <v>0</v>
      </c>
      <c r="M9" s="9"/>
      <c r="O9" s="22" t="s">
        <v>63</v>
      </c>
      <c r="P9" s="28">
        <f>K17/2</f>
        <v>0.6</v>
      </c>
      <c r="Q9" s="29" t="s">
        <v>0</v>
      </c>
    </row>
    <row r="10" spans="1:20" ht="15">
      <c r="A10" t="s">
        <v>51</v>
      </c>
      <c r="B10" s="1">
        <f>(K11*K12-3.14*K19^2/4)*K15</f>
        <v>0.9299999999999999</v>
      </c>
      <c r="C10" t="s">
        <v>2</v>
      </c>
      <c r="D10" s="36"/>
      <c r="E10" s="37"/>
      <c r="H10" t="s">
        <v>39</v>
      </c>
      <c r="I10" s="3" t="s">
        <v>96</v>
      </c>
      <c r="J10" s="25" t="s">
        <v>47</v>
      </c>
      <c r="K10" s="24">
        <v>0.3</v>
      </c>
      <c r="L10" s="24" t="s">
        <v>0</v>
      </c>
      <c r="M10" s="9"/>
      <c r="N10" s="9"/>
      <c r="O10" s="9"/>
      <c r="T10" s="38"/>
    </row>
    <row r="11" spans="1:15" ht="15">
      <c r="A11" t="s">
        <v>44</v>
      </c>
      <c r="B11" s="1">
        <f>N11*N12*(P8+P9)-(3.14*(P9^2/4)/2)*N11</f>
        <v>1.28805</v>
      </c>
      <c r="C11" t="s">
        <v>2</v>
      </c>
      <c r="D11" s="36"/>
      <c r="E11" s="37"/>
      <c r="J11" s="25" t="s">
        <v>46</v>
      </c>
      <c r="K11" s="26">
        <v>2.1</v>
      </c>
      <c r="L11" s="24" t="s">
        <v>0</v>
      </c>
      <c r="M11" s="9" t="s">
        <v>64</v>
      </c>
      <c r="N11" s="6">
        <f>K11-2*K14</f>
        <v>1.5</v>
      </c>
      <c r="O11" s="10" t="s">
        <v>0</v>
      </c>
    </row>
    <row r="12" spans="4:15" ht="15">
      <c r="D12" s="65" t="s">
        <v>178</v>
      </c>
      <c r="J12" s="25" t="s">
        <v>45</v>
      </c>
      <c r="K12" s="26">
        <f>1.25+0.3*2</f>
        <v>1.85</v>
      </c>
      <c r="L12" s="24" t="s">
        <v>0</v>
      </c>
      <c r="M12" s="9"/>
      <c r="N12" s="6">
        <f>K12-2*K14</f>
        <v>1.25</v>
      </c>
      <c r="O12" s="10" t="s">
        <v>0</v>
      </c>
    </row>
    <row r="13" spans="1:15" ht="15">
      <c r="A13" t="s">
        <v>162</v>
      </c>
      <c r="B13" s="1">
        <f>E13*(K6+K7)*2</f>
        <v>36.18000000000004</v>
      </c>
      <c r="C13" s="1" t="s">
        <v>5</v>
      </c>
      <c r="D13" s="36" t="s">
        <v>177</v>
      </c>
      <c r="E13" s="37">
        <f>211.24-207.4-0.9-N23-0.1</f>
        <v>2.6800000000000033</v>
      </c>
      <c r="F13" s="37" t="s">
        <v>0</v>
      </c>
      <c r="I13" s="3" t="s">
        <v>43</v>
      </c>
      <c r="J13" s="25" t="s">
        <v>48</v>
      </c>
      <c r="K13" s="24">
        <v>2</v>
      </c>
      <c r="L13" s="24" t="s">
        <v>0</v>
      </c>
      <c r="M13" s="9"/>
      <c r="N13" s="9"/>
      <c r="O13" s="9"/>
    </row>
    <row r="14" spans="1:14" ht="15">
      <c r="A14" s="21"/>
      <c r="B14" s="1"/>
      <c r="E14" s="37"/>
      <c r="F14" s="1"/>
      <c r="I14" s="3" t="s">
        <v>52</v>
      </c>
      <c r="J14" s="25" t="s">
        <v>47</v>
      </c>
      <c r="K14" s="24">
        <v>0.3</v>
      </c>
      <c r="L14" s="24" t="s">
        <v>0</v>
      </c>
      <c r="M14" s="9"/>
      <c r="N14" s="9"/>
    </row>
    <row r="15" spans="5:15" ht="15">
      <c r="E15" s="20"/>
      <c r="I15" s="3" t="s">
        <v>42</v>
      </c>
      <c r="J15" s="25" t="s">
        <v>47</v>
      </c>
      <c r="K15" s="24">
        <v>0.3</v>
      </c>
      <c r="L15" s="24" t="s">
        <v>0</v>
      </c>
      <c r="O15" s="9"/>
    </row>
    <row r="16" spans="1:4" ht="15">
      <c r="A16" s="65" t="s">
        <v>195</v>
      </c>
      <c r="B16" s="72">
        <f>B7+(K11*K12)*(K5-K4-K10-0.1)+K41-3.14*0.625^2/4*K4</f>
        <v>15.912348811250078</v>
      </c>
      <c r="C16" s="65" t="s">
        <v>2</v>
      </c>
      <c r="D16" s="66"/>
    </row>
    <row r="17" spans="1:15" ht="15">
      <c r="A17" t="s">
        <v>66</v>
      </c>
      <c r="B17" s="1">
        <f>B3-B16</f>
        <v>38.452351188750185</v>
      </c>
      <c r="C17" t="s">
        <v>2</v>
      </c>
      <c r="H17" s="25" t="s">
        <v>53</v>
      </c>
      <c r="I17" s="25">
        <v>900</v>
      </c>
      <c r="J17" s="3" t="s">
        <v>54</v>
      </c>
      <c r="K17" s="3">
        <f>I17*0.001+2*N22</f>
        <v>1.2</v>
      </c>
      <c r="L17" t="s">
        <v>0</v>
      </c>
      <c r="M17" s="10" t="s">
        <v>165</v>
      </c>
      <c r="N17" s="9"/>
      <c r="O17" s="7"/>
    </row>
    <row r="18" spans="9:15" ht="15">
      <c r="I18" s="25">
        <v>300</v>
      </c>
      <c r="K18" s="3">
        <f>I18*0.001+2*N18</f>
        <v>0.44</v>
      </c>
      <c r="L18" t="s">
        <v>0</v>
      </c>
      <c r="M18" s="19" t="s">
        <v>132</v>
      </c>
      <c r="N18" s="19">
        <v>0.07</v>
      </c>
      <c r="O18" s="53" t="s">
        <v>0</v>
      </c>
    </row>
    <row r="19" spans="1:15" ht="15">
      <c r="A19" s="11" t="s">
        <v>49</v>
      </c>
      <c r="B19" s="12"/>
      <c r="D19" s="7"/>
      <c r="E19" s="13"/>
      <c r="I19" s="3" t="s">
        <v>56</v>
      </c>
      <c r="J19" s="25" t="s">
        <v>86</v>
      </c>
      <c r="K19" s="26">
        <v>1</v>
      </c>
      <c r="L19" s="24" t="s">
        <v>0</v>
      </c>
      <c r="M19" s="19" t="s">
        <v>133</v>
      </c>
      <c r="N19" s="19">
        <v>0.08</v>
      </c>
      <c r="O19" s="53" t="s">
        <v>0</v>
      </c>
    </row>
    <row r="20" spans="1:15" ht="15">
      <c r="A20" s="21" t="s">
        <v>146</v>
      </c>
      <c r="B20" s="1">
        <f>(K6+2*((O5*K2)+0.15+0.3+0.15+0.15+0.07+0.1+0.04))*(K7+2*(0.15+0.3+0.15+0.15+0.07+0.1+0.04))</f>
        <v>28.0214</v>
      </c>
      <c r="C20" s="1" t="s">
        <v>5</v>
      </c>
      <c r="D20" s="7"/>
      <c r="J20" s="41"/>
      <c r="K20" s="42"/>
      <c r="L20" s="23"/>
      <c r="M20" s="19" t="s">
        <v>134</v>
      </c>
      <c r="N20" s="19">
        <v>0.085</v>
      </c>
      <c r="O20" s="53" t="s">
        <v>0</v>
      </c>
    </row>
    <row r="21" spans="1:20" ht="15">
      <c r="A21" s="21" t="s">
        <v>147</v>
      </c>
      <c r="B21" s="1">
        <f>(K6+2*((O5*K2)+0.15+0.3+0.15+0.15+0.07))*(K7+2*(0.15+0.3+0.15+0.15+0.07))</f>
        <v>25.134600000000006</v>
      </c>
      <c r="C21" s="1" t="s">
        <v>5</v>
      </c>
      <c r="I21" s="3" t="s">
        <v>58</v>
      </c>
      <c r="J21" s="28" t="s">
        <v>59</v>
      </c>
      <c r="K21" s="30">
        <f>K5-0.1-K10-K15-K13-K23</f>
        <v>1.5800000000000207</v>
      </c>
      <c r="L21" s="29" t="s">
        <v>0</v>
      </c>
      <c r="M21" s="19" t="s">
        <v>135</v>
      </c>
      <c r="N21" s="19">
        <v>0.105</v>
      </c>
      <c r="O21" s="53" t="s">
        <v>0</v>
      </c>
      <c r="T21" s="45" t="s">
        <v>91</v>
      </c>
    </row>
    <row r="22" spans="1:15" ht="15">
      <c r="A22" s="22" t="s">
        <v>150</v>
      </c>
      <c r="B22" s="1">
        <f>(K6+2*(O5*K2)+0.15+0.3+0.15)*(K7+2*(0.15+0.3+0.15))</f>
        <v>18.095</v>
      </c>
      <c r="C22" s="1" t="s">
        <v>5</v>
      </c>
      <c r="M22" s="19" t="s">
        <v>136</v>
      </c>
      <c r="N22" s="19">
        <v>0.15</v>
      </c>
      <c r="O22" s="53" t="s">
        <v>0</v>
      </c>
    </row>
    <row r="23" spans="1:15" ht="15">
      <c r="A23" s="22" t="s">
        <v>148</v>
      </c>
      <c r="B23" s="1">
        <f>(K6+2*O5*K2)*K7</f>
        <v>11.375</v>
      </c>
      <c r="C23" s="1" t="s">
        <v>5</v>
      </c>
      <c r="I23" s="3" t="s">
        <v>60</v>
      </c>
      <c r="J23" s="25" t="s">
        <v>59</v>
      </c>
      <c r="K23" s="26">
        <v>0.16</v>
      </c>
      <c r="L23" s="24" t="s">
        <v>0</v>
      </c>
      <c r="M23" s="19" t="s">
        <v>86</v>
      </c>
      <c r="N23" s="19">
        <v>0.16</v>
      </c>
      <c r="O23" s="53" t="s">
        <v>0</v>
      </c>
    </row>
    <row r="24" ht="15">
      <c r="L24" s="18"/>
    </row>
    <row r="25" spans="1:3" ht="15">
      <c r="A25" t="s">
        <v>155</v>
      </c>
      <c r="B25" s="1">
        <f>2*(K11*K10+K12*K10)</f>
        <v>2.37</v>
      </c>
      <c r="C25" s="1" t="s">
        <v>5</v>
      </c>
    </row>
    <row r="26" spans="1:3" ht="15">
      <c r="A26" t="s">
        <v>152</v>
      </c>
      <c r="B26" s="1">
        <f>2*K13*K11+2*K12*K13+2*N11*K13+2*N12*K13</f>
        <v>26.8</v>
      </c>
      <c r="C26" s="1" t="s">
        <v>5</v>
      </c>
    </row>
    <row r="27" spans="1:3" ht="15">
      <c r="A27" t="s">
        <v>153</v>
      </c>
      <c r="B27" s="1">
        <f>K11*K12-3.14*K19^2/4+2*(K11+K12)*K15+3.14*K19*K15</f>
        <v>6.412000000000001</v>
      </c>
      <c r="C27" s="1" t="s">
        <v>5</v>
      </c>
    </row>
    <row r="28" ht="15">
      <c r="B28" s="1"/>
    </row>
    <row r="29" spans="1:3" ht="15">
      <c r="A29" t="s">
        <v>173</v>
      </c>
      <c r="B29">
        <v>6</v>
      </c>
      <c r="C29" s="1" t="s">
        <v>70</v>
      </c>
    </row>
    <row r="30" spans="1:3" ht="15">
      <c r="A30" t="s">
        <v>257</v>
      </c>
      <c r="B30">
        <v>1</v>
      </c>
      <c r="C30" s="1" t="s">
        <v>70</v>
      </c>
    </row>
    <row r="31" spans="1:4" ht="15">
      <c r="A31" t="s">
        <v>236</v>
      </c>
      <c r="B31" s="1">
        <v>2.5</v>
      </c>
      <c r="C31" s="1" t="s">
        <v>0</v>
      </c>
      <c r="D31" s="1" t="s">
        <v>232</v>
      </c>
    </row>
    <row r="32" spans="1:4" ht="15">
      <c r="A32" t="s">
        <v>233</v>
      </c>
      <c r="B32" s="56">
        <f>K21-0.15</f>
        <v>1.4300000000000208</v>
      </c>
      <c r="C32" s="1" t="s">
        <v>0</v>
      </c>
      <c r="D32" s="65" t="s">
        <v>255</v>
      </c>
    </row>
    <row r="33" spans="1:5" ht="15">
      <c r="A33" t="s">
        <v>231</v>
      </c>
      <c r="B33">
        <v>1</v>
      </c>
      <c r="C33" s="1" t="s">
        <v>70</v>
      </c>
      <c r="E33" s="65" t="s">
        <v>256</v>
      </c>
    </row>
    <row r="34" spans="1:3" ht="15">
      <c r="A34" t="s">
        <v>334</v>
      </c>
      <c r="B34">
        <v>1</v>
      </c>
      <c r="C34" s="1" t="s">
        <v>70</v>
      </c>
    </row>
    <row r="35" ht="15">
      <c r="A35" s="3" t="s">
        <v>143</v>
      </c>
    </row>
    <row r="36" spans="1:15" ht="15">
      <c r="A36" s="41" t="s">
        <v>87</v>
      </c>
      <c r="B36" s="24">
        <v>0.5</v>
      </c>
      <c r="C36" s="24" t="s">
        <v>0</v>
      </c>
      <c r="D36" s="24">
        <v>1</v>
      </c>
      <c r="E36" s="23" t="s">
        <v>88</v>
      </c>
      <c r="H36" s="19" t="s">
        <v>92</v>
      </c>
      <c r="I36" s="7" t="s">
        <v>93</v>
      </c>
      <c r="K36" s="1">
        <f>3.14*(1+N36*2)^2/4*B36</f>
        <v>0.603508</v>
      </c>
      <c r="L36" t="s">
        <v>2</v>
      </c>
      <c r="M36" s="24" t="s">
        <v>94</v>
      </c>
      <c r="N36" s="24">
        <v>0.12</v>
      </c>
      <c r="O36" s="24" t="s">
        <v>0</v>
      </c>
    </row>
    <row r="37" spans="1:15" ht="15">
      <c r="A37" s="41" t="s">
        <v>87</v>
      </c>
      <c r="B37" s="24">
        <v>0.25</v>
      </c>
      <c r="C37" s="24" t="s">
        <v>0</v>
      </c>
      <c r="D37" s="24">
        <v>1</v>
      </c>
      <c r="E37" s="23" t="s">
        <v>88</v>
      </c>
      <c r="K37" s="1">
        <f>3.14*(1+N37*2)^2/4*B37</f>
        <v>0.301754</v>
      </c>
      <c r="L37" t="s">
        <v>2</v>
      </c>
      <c r="M37" s="24" t="s">
        <v>94</v>
      </c>
      <c r="N37" s="24">
        <v>0.12</v>
      </c>
      <c r="O37" s="24" t="s">
        <v>0</v>
      </c>
    </row>
    <row r="38" spans="1:15" ht="15">
      <c r="A38" s="41" t="s">
        <v>89</v>
      </c>
      <c r="B38" s="24">
        <v>0.58</v>
      </c>
      <c r="C38" s="24" t="s">
        <v>0</v>
      </c>
      <c r="D38" s="24">
        <v>1</v>
      </c>
      <c r="E38" s="23" t="s">
        <v>88</v>
      </c>
      <c r="K38" s="1">
        <f>1/12*3.14*B38*((1+2*N38)^2+(1+2*N38)*(0.625+2*N38)+(0.625+2*N38)^2)</f>
        <v>0.5096969674999999</v>
      </c>
      <c r="L38" t="s">
        <v>2</v>
      </c>
      <c r="M38" s="24" t="s">
        <v>94</v>
      </c>
      <c r="N38" s="24">
        <v>0.12</v>
      </c>
      <c r="O38" s="24" t="s">
        <v>0</v>
      </c>
    </row>
    <row r="39" spans="1:15" ht="15">
      <c r="A39" s="57" t="s">
        <v>167</v>
      </c>
      <c r="B39" s="62">
        <v>0</v>
      </c>
      <c r="C39" s="62" t="s">
        <v>0</v>
      </c>
      <c r="D39" s="24">
        <v>1</v>
      </c>
      <c r="E39" s="23" t="s">
        <v>88</v>
      </c>
      <c r="K39" s="31">
        <f>3.14*(0.625+2*N39)^2/4*B39</f>
        <v>0</v>
      </c>
      <c r="L39" s="32" t="s">
        <v>2</v>
      </c>
      <c r="M39" s="24" t="s">
        <v>94</v>
      </c>
      <c r="N39" s="24">
        <v>0.1</v>
      </c>
      <c r="O39" s="24" t="s">
        <v>0</v>
      </c>
    </row>
    <row r="40" spans="1:12" ht="15">
      <c r="A40" s="59" t="s">
        <v>90</v>
      </c>
      <c r="B40" s="60">
        <f>G40+B36*D36+B37*D37+B38*D38+B39*D39+K23</f>
        <v>1.5599999999999998</v>
      </c>
      <c r="C40" s="61" t="s">
        <v>0</v>
      </c>
      <c r="F40" s="59" t="s">
        <v>254</v>
      </c>
      <c r="G40" s="60">
        <v>0.07</v>
      </c>
      <c r="H40" s="61" t="s">
        <v>0</v>
      </c>
      <c r="J40" s="6" t="s">
        <v>95</v>
      </c>
      <c r="K40" s="46">
        <f>3.14*0.625^2/4*K23</f>
        <v>0.0490625</v>
      </c>
      <c r="L40" s="4" t="s">
        <v>2</v>
      </c>
    </row>
    <row r="41" spans="10:19" ht="15">
      <c r="J41" s="6" t="s">
        <v>90</v>
      </c>
      <c r="K41" s="44">
        <f>K36*D36+K37*D37+K38*D38+K39*D39+K40</f>
        <v>1.4640214675</v>
      </c>
      <c r="L41" s="43" t="s">
        <v>2</v>
      </c>
      <c r="Q41" s="58" t="s">
        <v>144</v>
      </c>
      <c r="R41" s="45">
        <f>K21-B40</f>
        <v>0.02000000000002089</v>
      </c>
      <c r="S41" s="43" t="s">
        <v>0</v>
      </c>
    </row>
    <row r="42" spans="1:3" ht="15">
      <c r="A42" t="s">
        <v>71</v>
      </c>
      <c r="B42" s="1">
        <f>N11-O2</f>
        <v>0.30000000000000004</v>
      </c>
      <c r="C42" s="1" t="s">
        <v>0</v>
      </c>
    </row>
    <row r="43" ht="15">
      <c r="A43" s="77" t="s">
        <v>268</v>
      </c>
    </row>
    <row r="44" ht="15">
      <c r="A44" s="77" t="s">
        <v>271</v>
      </c>
    </row>
    <row r="45" spans="1:2" ht="15">
      <c r="A45" t="s">
        <v>72</v>
      </c>
      <c r="B45" s="5" t="s">
        <v>274</v>
      </c>
    </row>
    <row r="46" ht="15">
      <c r="B46" s="5"/>
    </row>
    <row r="47" ht="15">
      <c r="A47" s="33" t="s">
        <v>332</v>
      </c>
    </row>
    <row r="48" spans="1:5" ht="15">
      <c r="A48" s="3" t="s">
        <v>73</v>
      </c>
      <c r="B48" s="25" t="s">
        <v>57</v>
      </c>
      <c r="C48" s="26">
        <v>2</v>
      </c>
      <c r="D48" s="24" t="s">
        <v>0</v>
      </c>
      <c r="E48"/>
    </row>
    <row r="49" spans="2:5" ht="15">
      <c r="B49" s="25" t="s">
        <v>46</v>
      </c>
      <c r="C49" s="26">
        <v>2</v>
      </c>
      <c r="D49" s="24" t="s">
        <v>0</v>
      </c>
      <c r="E49"/>
    </row>
    <row r="50" spans="1:5" ht="15">
      <c r="A50" s="3" t="s">
        <v>74</v>
      </c>
      <c r="B50" s="25" t="s">
        <v>75</v>
      </c>
      <c r="C50" s="26">
        <v>0.625</v>
      </c>
      <c r="D50" s="24" t="s">
        <v>0</v>
      </c>
      <c r="E50" t="s">
        <v>336</v>
      </c>
    </row>
    <row r="51" spans="1:3" ht="15">
      <c r="A51" s="5" t="s">
        <v>333</v>
      </c>
      <c r="B51">
        <v>4</v>
      </c>
      <c r="C51" s="1" t="s">
        <v>88</v>
      </c>
    </row>
    <row r="52" spans="1:8" ht="15">
      <c r="A52" s="5" t="s">
        <v>337</v>
      </c>
      <c r="B52">
        <v>3</v>
      </c>
      <c r="C52" s="1" t="s">
        <v>88</v>
      </c>
      <c r="D52" s="1">
        <f>C48*C49-3.14*C50^2/4</f>
        <v>3.693359375</v>
      </c>
      <c r="E52" s="1" t="s">
        <v>5</v>
      </c>
      <c r="F52" s="1">
        <f>B52*D52</f>
        <v>11.080078125</v>
      </c>
      <c r="G52" s="1" t="s">
        <v>5</v>
      </c>
      <c r="H52" s="2"/>
    </row>
    <row r="53" spans="1:8" ht="15">
      <c r="A53" t="s">
        <v>68</v>
      </c>
      <c r="B53">
        <v>2</v>
      </c>
      <c r="C53" s="1" t="s">
        <v>88</v>
      </c>
      <c r="D53" s="1">
        <f>(2*0.5+C50)^2*1.1</f>
        <v>2.9046875</v>
      </c>
      <c r="E53" s="1" t="s">
        <v>5</v>
      </c>
      <c r="F53" s="1">
        <f>B53*D53</f>
        <v>5.809375</v>
      </c>
      <c r="G53" s="1" t="s">
        <v>5</v>
      </c>
      <c r="H53" s="2"/>
    </row>
    <row r="54" ht="15">
      <c r="A54" s="7" t="s">
        <v>335</v>
      </c>
    </row>
    <row r="55" spans="5:7" ht="15">
      <c r="E55" s="1" t="s">
        <v>90</v>
      </c>
      <c r="F55" s="1">
        <f>SUM(F52:F53)</f>
        <v>16.889453125</v>
      </c>
      <c r="G55" s="1" t="s">
        <v>5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1"/>
  <sheetViews>
    <sheetView view="pageBreakPreview" zoomScale="60" workbookViewId="0" topLeftCell="A1">
      <selection activeCell="E3" sqref="E3"/>
    </sheetView>
  </sheetViews>
  <sheetFormatPr defaultColWidth="9.140625" defaultRowHeight="15"/>
  <cols>
    <col min="1" max="1" width="31.7109375" style="0" customWidth="1"/>
    <col min="2" max="2" width="10.28125" style="0" customWidth="1"/>
    <col min="4" max="4" width="15.00390625" style="0" customWidth="1"/>
    <col min="5" max="5" width="10.57421875" style="0" customWidth="1"/>
    <col min="7" max="7" width="13.8515625" style="0" customWidth="1"/>
    <col min="8" max="8" width="12.7109375" style="0" customWidth="1"/>
    <col min="9" max="9" width="8.8515625" style="0" customWidth="1"/>
    <col min="10" max="10" width="11.28125" style="0" customWidth="1"/>
    <col min="11" max="11" width="9.00390625" style="0" customWidth="1"/>
    <col min="13" max="13" width="9.28125" style="0" customWidth="1"/>
    <col min="18" max="18" width="17.57421875" style="0" customWidth="1"/>
  </cols>
  <sheetData>
    <row r="1" ht="15">
      <c r="A1" s="33" t="s">
        <v>275</v>
      </c>
    </row>
    <row r="2" spans="1:6" ht="15">
      <c r="A2" s="3" t="s">
        <v>276</v>
      </c>
      <c r="B2">
        <v>900</v>
      </c>
      <c r="C2" s="8" t="s">
        <v>277</v>
      </c>
      <c r="D2" s="8"/>
      <c r="E2">
        <v>151.72</v>
      </c>
      <c r="F2" t="s">
        <v>0</v>
      </c>
    </row>
    <row r="5" spans="1:12" ht="15">
      <c r="A5" s="33" t="s">
        <v>278</v>
      </c>
      <c r="G5" s="118" t="s">
        <v>338</v>
      </c>
      <c r="L5" s="5" t="s">
        <v>342</v>
      </c>
    </row>
    <row r="6" spans="1:18" ht="29.4" customHeight="1">
      <c r="A6" s="86" t="s">
        <v>279</v>
      </c>
      <c r="B6" s="100" t="s">
        <v>359</v>
      </c>
      <c r="D6" t="s">
        <v>353</v>
      </c>
      <c r="E6" s="5" t="s">
        <v>346</v>
      </c>
      <c r="G6" s="119"/>
      <c r="H6" s="97" t="s">
        <v>339</v>
      </c>
      <c r="J6" s="100" t="s">
        <v>358</v>
      </c>
      <c r="L6" s="11" t="s">
        <v>340</v>
      </c>
      <c r="M6" s="97" t="s">
        <v>341</v>
      </c>
      <c r="N6" s="97" t="s">
        <v>344</v>
      </c>
      <c r="O6" s="11" t="s">
        <v>345</v>
      </c>
      <c r="P6" s="11" t="s">
        <v>343</v>
      </c>
      <c r="Q6" s="11" t="s">
        <v>352</v>
      </c>
      <c r="R6" s="99" t="s">
        <v>363</v>
      </c>
    </row>
    <row r="7" spans="1:17" ht="15">
      <c r="A7" s="3" t="s">
        <v>347</v>
      </c>
      <c r="B7">
        <v>5.5</v>
      </c>
      <c r="C7" t="s">
        <v>0</v>
      </c>
      <c r="D7" t="s">
        <v>354</v>
      </c>
      <c r="G7" s="8" t="s">
        <v>356</v>
      </c>
      <c r="H7" s="3" t="s">
        <v>403</v>
      </c>
      <c r="J7">
        <f aca="true" t="shared" si="0" ref="J7:J14">Q7*B7</f>
        <v>5.389999999999944</v>
      </c>
      <c r="L7">
        <v>211.06</v>
      </c>
      <c r="M7">
        <v>209.58</v>
      </c>
      <c r="N7">
        <f aca="true" t="shared" si="1" ref="N7:N14">-0.925-(O7*0.001)/2</f>
        <v>-1</v>
      </c>
      <c r="O7">
        <v>150</v>
      </c>
      <c r="P7" s="98">
        <f aca="true" t="shared" si="2" ref="P7:P14">(L7+N7-M7)/B7</f>
        <v>0.0872727272727254</v>
      </c>
      <c r="Q7">
        <f aca="true" t="shared" si="3" ref="Q7:Q8">L7-M7+N7/2</f>
        <v>0.9799999999999898</v>
      </c>
    </row>
    <row r="8" spans="1:17" ht="15">
      <c r="A8" s="3" t="s">
        <v>348</v>
      </c>
      <c r="B8">
        <v>7</v>
      </c>
      <c r="C8" t="s">
        <v>0</v>
      </c>
      <c r="D8" t="s">
        <v>354</v>
      </c>
      <c r="E8" t="s">
        <v>386</v>
      </c>
      <c r="G8" s="8" t="s">
        <v>356</v>
      </c>
      <c r="H8" s="3" t="s">
        <v>403</v>
      </c>
      <c r="J8">
        <f t="shared" si="0"/>
        <v>7</v>
      </c>
      <c r="L8">
        <v>211.08</v>
      </c>
      <c r="M8">
        <v>209.58</v>
      </c>
      <c r="N8">
        <f t="shared" si="1"/>
        <v>-1</v>
      </c>
      <c r="O8">
        <v>150</v>
      </c>
      <c r="P8" s="98">
        <f t="shared" si="2"/>
        <v>0.07142857142857142</v>
      </c>
      <c r="Q8">
        <f t="shared" si="3"/>
        <v>1</v>
      </c>
    </row>
    <row r="9" spans="1:17" ht="15">
      <c r="A9" s="3" t="s">
        <v>360</v>
      </c>
      <c r="B9">
        <v>13.7</v>
      </c>
      <c r="C9" t="s">
        <v>0</v>
      </c>
      <c r="D9" t="s">
        <v>354</v>
      </c>
      <c r="E9" t="s">
        <v>361</v>
      </c>
      <c r="G9" s="8" t="s">
        <v>356</v>
      </c>
      <c r="H9" s="3" t="s">
        <v>357</v>
      </c>
      <c r="J9">
        <f t="shared" si="0"/>
        <v>18.90599999999994</v>
      </c>
      <c r="L9">
        <v>210.88</v>
      </c>
      <c r="M9">
        <v>209</v>
      </c>
      <c r="N9">
        <f t="shared" si="1"/>
        <v>-1</v>
      </c>
      <c r="O9">
        <v>150</v>
      </c>
      <c r="P9" s="98">
        <f t="shared" si="2"/>
        <v>0.06423357664233544</v>
      </c>
      <c r="Q9">
        <f aca="true" t="shared" si="4" ref="Q9">L9-M9+N9/2</f>
        <v>1.3799999999999955</v>
      </c>
    </row>
    <row r="10" spans="1:17" ht="15">
      <c r="A10" s="3" t="s">
        <v>365</v>
      </c>
      <c r="B10">
        <v>1.5</v>
      </c>
      <c r="C10" t="s">
        <v>0</v>
      </c>
      <c r="D10" t="s">
        <v>354</v>
      </c>
      <c r="G10" s="8" t="s">
        <v>356</v>
      </c>
      <c r="H10" s="3" t="s">
        <v>357</v>
      </c>
      <c r="J10">
        <f t="shared" si="0"/>
        <v>1.6199999999999761</v>
      </c>
      <c r="L10">
        <v>211.07</v>
      </c>
      <c r="M10">
        <v>209.49</v>
      </c>
      <c r="N10">
        <f t="shared" si="1"/>
        <v>-1</v>
      </c>
      <c r="O10">
        <v>150</v>
      </c>
      <c r="P10" s="98">
        <f t="shared" si="2"/>
        <v>0.38666666666665606</v>
      </c>
      <c r="Q10">
        <f aca="true" t="shared" si="5" ref="Q10">L10-M10+N10/2</f>
        <v>1.079999999999984</v>
      </c>
    </row>
    <row r="11" spans="1:17" ht="15">
      <c r="A11" s="3" t="s">
        <v>370</v>
      </c>
      <c r="B11">
        <v>1.2</v>
      </c>
      <c r="C11" t="s">
        <v>0</v>
      </c>
      <c r="D11" t="s">
        <v>354</v>
      </c>
      <c r="G11" s="8" t="s">
        <v>356</v>
      </c>
      <c r="H11" s="3" t="s">
        <v>357</v>
      </c>
      <c r="J11">
        <f t="shared" si="0"/>
        <v>1.2600000000000136</v>
      </c>
      <c r="L11">
        <v>211</v>
      </c>
      <c r="M11">
        <v>209.45</v>
      </c>
      <c r="N11">
        <f t="shared" si="1"/>
        <v>-1</v>
      </c>
      <c r="O11">
        <v>150</v>
      </c>
      <c r="P11" s="98">
        <f t="shared" si="2"/>
        <v>0.4583333333333428</v>
      </c>
      <c r="Q11">
        <f aca="true" t="shared" si="6" ref="Q11">L11-M11+N11/2</f>
        <v>1.0500000000000114</v>
      </c>
    </row>
    <row r="12" spans="1:17" ht="15">
      <c r="A12" s="3" t="s">
        <v>371</v>
      </c>
      <c r="B12">
        <v>1</v>
      </c>
      <c r="C12" t="s">
        <v>0</v>
      </c>
      <c r="D12" t="s">
        <v>354</v>
      </c>
      <c r="G12" s="3" t="s">
        <v>372</v>
      </c>
      <c r="H12" s="3" t="s">
        <v>357</v>
      </c>
      <c r="J12">
        <f t="shared" si="0"/>
        <v>1.049999999999983</v>
      </c>
      <c r="L12">
        <v>210.98</v>
      </c>
      <c r="M12">
        <v>209.43</v>
      </c>
      <c r="N12">
        <f t="shared" si="1"/>
        <v>-1</v>
      </c>
      <c r="O12">
        <v>150</v>
      </c>
      <c r="P12" s="98">
        <f t="shared" si="2"/>
        <v>0.549999999999983</v>
      </c>
      <c r="Q12">
        <f aca="true" t="shared" si="7" ref="Q12">L12-M12+N12/2</f>
        <v>1.049999999999983</v>
      </c>
    </row>
    <row r="13" spans="1:17" ht="15">
      <c r="A13" s="3" t="s">
        <v>373</v>
      </c>
      <c r="B13">
        <v>1.8</v>
      </c>
      <c r="C13" t="s">
        <v>0</v>
      </c>
      <c r="D13" t="s">
        <v>354</v>
      </c>
      <c r="G13" s="8" t="s">
        <v>374</v>
      </c>
      <c r="H13" s="3">
        <v>2</v>
      </c>
      <c r="I13" t="s">
        <v>0</v>
      </c>
      <c r="J13">
        <f t="shared" si="0"/>
        <v>1.9619999999999551</v>
      </c>
      <c r="L13">
        <v>210.92</v>
      </c>
      <c r="M13">
        <v>209.33</v>
      </c>
      <c r="N13">
        <f t="shared" si="1"/>
        <v>-1</v>
      </c>
      <c r="O13">
        <v>150</v>
      </c>
      <c r="P13" s="98">
        <f t="shared" si="2"/>
        <v>0.3277777777777639</v>
      </c>
      <c r="Q13">
        <f aca="true" t="shared" si="8" ref="Q13">L13-M13+N13/2</f>
        <v>1.089999999999975</v>
      </c>
    </row>
    <row r="14" spans="1:18" ht="15">
      <c r="A14" s="3" t="s">
        <v>379</v>
      </c>
      <c r="B14">
        <v>3</v>
      </c>
      <c r="C14" t="s">
        <v>0</v>
      </c>
      <c r="D14" t="s">
        <v>354</v>
      </c>
      <c r="E14" t="s">
        <v>382</v>
      </c>
      <c r="G14" s="8" t="s">
        <v>356</v>
      </c>
      <c r="H14" s="5" t="s">
        <v>380</v>
      </c>
      <c r="J14">
        <f t="shared" si="0"/>
        <v>3.2099999999999795</v>
      </c>
      <c r="L14">
        <v>210.78</v>
      </c>
      <c r="M14">
        <v>209.21</v>
      </c>
      <c r="N14">
        <f t="shared" si="1"/>
        <v>-1</v>
      </c>
      <c r="O14">
        <v>150</v>
      </c>
      <c r="P14" s="98">
        <f t="shared" si="2"/>
        <v>0.18999999999999773</v>
      </c>
      <c r="Q14">
        <f aca="true" t="shared" si="9" ref="Q14">L14-M14+N14/2</f>
        <v>1.0699999999999932</v>
      </c>
      <c r="R14" s="101" t="s">
        <v>381</v>
      </c>
    </row>
    <row r="16" spans="1:11" ht="15">
      <c r="A16" s="105" t="s">
        <v>310</v>
      </c>
      <c r="B16" s="106">
        <f>SUM(B7:B14)</f>
        <v>34.7</v>
      </c>
      <c r="C16" s="106" t="s">
        <v>0</v>
      </c>
      <c r="D16" s="106"/>
      <c r="E16" s="106"/>
      <c r="F16" s="105" t="s">
        <v>398</v>
      </c>
      <c r="G16" s="107">
        <f>A17-1</f>
        <v>7</v>
      </c>
      <c r="H16" s="106">
        <f>SUM(H7:H14)</f>
        <v>2</v>
      </c>
      <c r="I16" s="106" t="s">
        <v>0</v>
      </c>
      <c r="J16" s="106">
        <f>SUM(J7:J14)</f>
        <v>40.39799999999978</v>
      </c>
      <c r="K16" s="106" t="s">
        <v>2</v>
      </c>
    </row>
    <row r="17" spans="1:12" ht="15">
      <c r="A17" s="106">
        <f>COUNTA(A7:A14)</f>
        <v>8</v>
      </c>
      <c r="B17" s="106" t="s">
        <v>397</v>
      </c>
      <c r="L17" s="5" t="s">
        <v>342</v>
      </c>
    </row>
    <row r="18" spans="1:18" ht="34.8" customHeight="1">
      <c r="A18" s="86" t="s">
        <v>280</v>
      </c>
      <c r="B18" s="100" t="s">
        <v>359</v>
      </c>
      <c r="D18" t="s">
        <v>353</v>
      </c>
      <c r="E18" s="5" t="s">
        <v>346</v>
      </c>
      <c r="H18" s="97" t="s">
        <v>339</v>
      </c>
      <c r="J18" s="100" t="s">
        <v>358</v>
      </c>
      <c r="L18" s="11" t="s">
        <v>350</v>
      </c>
      <c r="M18" s="97" t="s">
        <v>341</v>
      </c>
      <c r="N18" s="97" t="s">
        <v>351</v>
      </c>
      <c r="O18" s="11" t="s">
        <v>345</v>
      </c>
      <c r="P18" s="11" t="s">
        <v>343</v>
      </c>
      <c r="Q18" s="11" t="s">
        <v>352</v>
      </c>
      <c r="R18" s="99" t="s">
        <v>363</v>
      </c>
    </row>
    <row r="19" spans="1:18" ht="15">
      <c r="A19" s="3" t="s">
        <v>375</v>
      </c>
      <c r="B19">
        <v>17</v>
      </c>
      <c r="C19" t="s">
        <v>0</v>
      </c>
      <c r="D19" t="s">
        <v>355</v>
      </c>
      <c r="E19" t="s">
        <v>349</v>
      </c>
      <c r="H19" s="3" t="s">
        <v>357</v>
      </c>
      <c r="J19">
        <f aca="true" t="shared" si="10" ref="J19:J24">Q19*B19</f>
        <v>23.460000000000022</v>
      </c>
      <c r="L19">
        <v>211.06</v>
      </c>
      <c r="M19">
        <v>209.28</v>
      </c>
      <c r="N19">
        <v>-0.8</v>
      </c>
      <c r="O19">
        <v>150</v>
      </c>
      <c r="P19" s="98">
        <f>(L19+N19-M19)/B19</f>
        <v>0.05764705882352881</v>
      </c>
      <c r="Q19">
        <f aca="true" t="shared" si="11" ref="Q19:Q24">L19-M19+N19/2</f>
        <v>1.3800000000000012</v>
      </c>
      <c r="R19" s="101" t="s">
        <v>364</v>
      </c>
    </row>
    <row r="20" spans="1:18" ht="15">
      <c r="A20" s="3" t="s">
        <v>362</v>
      </c>
      <c r="B20" s="56">
        <v>11.8</v>
      </c>
      <c r="C20" t="s">
        <v>0</v>
      </c>
      <c r="D20" t="s">
        <v>376</v>
      </c>
      <c r="E20" t="s">
        <v>378</v>
      </c>
      <c r="H20" s="3">
        <v>11.8</v>
      </c>
      <c r="I20" t="s">
        <v>0</v>
      </c>
      <c r="J20">
        <f t="shared" si="10"/>
        <v>13.570000000000135</v>
      </c>
      <c r="L20">
        <v>211.05</v>
      </c>
      <c r="M20">
        <v>209.5</v>
      </c>
      <c r="N20">
        <v>-0.8</v>
      </c>
      <c r="O20">
        <v>150</v>
      </c>
      <c r="P20" s="98">
        <f>(L20+N20-M20)/B20</f>
        <v>0.0635593220338983</v>
      </c>
      <c r="Q20">
        <f t="shared" si="11"/>
        <v>1.1500000000000115</v>
      </c>
      <c r="R20" s="101" t="s">
        <v>364</v>
      </c>
    </row>
    <row r="21" spans="1:18" ht="15">
      <c r="A21" s="3" t="s">
        <v>383</v>
      </c>
      <c r="B21">
        <v>1.3</v>
      </c>
      <c r="C21" t="s">
        <v>0</v>
      </c>
      <c r="H21" s="3" t="s">
        <v>404</v>
      </c>
      <c r="J21">
        <f t="shared" si="10"/>
        <v>0.4862000000000086</v>
      </c>
      <c r="L21">
        <v>210.94</v>
      </c>
      <c r="M21">
        <f>L22+N22-0.02*4.7</f>
        <v>210.266</v>
      </c>
      <c r="N21">
        <v>-0.6</v>
      </c>
      <c r="O21">
        <v>150</v>
      </c>
      <c r="P21" s="98">
        <f>(L21+N21-M21)/B21</f>
        <v>0.05692307692308637</v>
      </c>
      <c r="Q21">
        <f t="shared" si="11"/>
        <v>0.3740000000000066</v>
      </c>
      <c r="R21" s="101"/>
    </row>
    <row r="22" spans="1:18" ht="15">
      <c r="A22" s="117" t="s">
        <v>384</v>
      </c>
      <c r="B22">
        <v>11.8</v>
      </c>
      <c r="C22" t="s">
        <v>0</v>
      </c>
      <c r="D22" t="s">
        <v>385</v>
      </c>
      <c r="E22" t="s">
        <v>390</v>
      </c>
      <c r="H22" s="3">
        <v>11.8</v>
      </c>
      <c r="I22" t="s">
        <v>0</v>
      </c>
      <c r="J22">
        <f t="shared" si="10"/>
        <v>18.64399999999988</v>
      </c>
      <c r="L22">
        <v>211.16</v>
      </c>
      <c r="M22">
        <v>209.18</v>
      </c>
      <c r="N22">
        <v>-0.8</v>
      </c>
      <c r="O22">
        <v>150</v>
      </c>
      <c r="P22" s="98">
        <f>(L22+N22-(M22+0.3+0.5))/B22</f>
        <v>0.03220338983050568</v>
      </c>
      <c r="Q22">
        <f t="shared" si="11"/>
        <v>1.5799999999999899</v>
      </c>
      <c r="R22" s="102" t="s">
        <v>388</v>
      </c>
    </row>
    <row r="23" spans="1:18" ht="28.8" customHeight="1">
      <c r="A23" s="117" t="s">
        <v>389</v>
      </c>
      <c r="B23">
        <v>19.5</v>
      </c>
      <c r="C23" t="s">
        <v>0</v>
      </c>
      <c r="D23" s="103" t="s">
        <v>391</v>
      </c>
      <c r="E23" t="s">
        <v>390</v>
      </c>
      <c r="H23" s="3">
        <v>11.8</v>
      </c>
      <c r="I23" t="s">
        <v>0</v>
      </c>
      <c r="J23">
        <f t="shared" si="10"/>
        <v>32.76000000000025</v>
      </c>
      <c r="L23">
        <v>211.15</v>
      </c>
      <c r="M23">
        <v>209.07</v>
      </c>
      <c r="N23">
        <v>-0.8</v>
      </c>
      <c r="O23">
        <v>150</v>
      </c>
      <c r="P23" s="98">
        <f>(L23+N23-(M23+0.3+0.7))/B23</f>
        <v>0.014358974358974418</v>
      </c>
      <c r="Q23">
        <f t="shared" si="11"/>
        <v>1.6800000000000126</v>
      </c>
      <c r="R23" s="104" t="s">
        <v>392</v>
      </c>
    </row>
    <row r="24" spans="1:18" ht="15">
      <c r="A24" s="3" t="s">
        <v>393</v>
      </c>
      <c r="B24">
        <v>10.4</v>
      </c>
      <c r="C24" t="s">
        <v>0</v>
      </c>
      <c r="D24" t="s">
        <v>394</v>
      </c>
      <c r="E24" t="s">
        <v>395</v>
      </c>
      <c r="H24" s="3">
        <v>10.4</v>
      </c>
      <c r="I24" t="s">
        <v>0</v>
      </c>
      <c r="J24">
        <f t="shared" si="10"/>
        <v>15.496000000000155</v>
      </c>
      <c r="L24">
        <v>210.9</v>
      </c>
      <c r="M24">
        <v>209.01</v>
      </c>
      <c r="N24">
        <v>-0.8</v>
      </c>
      <c r="O24">
        <v>150</v>
      </c>
      <c r="P24" s="98">
        <f>(L24+N24-M24)/B24</f>
        <v>0.10480769230769263</v>
      </c>
      <c r="Q24">
        <f t="shared" si="11"/>
        <v>1.4900000000000149</v>
      </c>
      <c r="R24" s="101"/>
    </row>
    <row r="25" ht="15">
      <c r="A25" s="3"/>
    </row>
    <row r="26" spans="1:11" ht="15">
      <c r="A26" s="105" t="s">
        <v>310</v>
      </c>
      <c r="B26" s="106">
        <f>SUM(B17:B24)</f>
        <v>71.80000000000001</v>
      </c>
      <c r="C26" s="106" t="s">
        <v>0</v>
      </c>
      <c r="D26" s="106"/>
      <c r="E26" s="106"/>
      <c r="F26" s="105"/>
      <c r="G26" s="107"/>
      <c r="H26" s="106">
        <f>SUM(H19:H24)</f>
        <v>45.800000000000004</v>
      </c>
      <c r="I26" s="106" t="s">
        <v>0</v>
      </c>
      <c r="J26" s="106">
        <f>SUM(J19:J24)</f>
        <v>104.41620000000044</v>
      </c>
      <c r="K26" s="106" t="s">
        <v>2</v>
      </c>
    </row>
    <row r="27" spans="1:2" ht="15">
      <c r="A27" s="106">
        <f>COUNTA(A19:A24)</f>
        <v>6</v>
      </c>
      <c r="B27" s="106" t="s">
        <v>401</v>
      </c>
    </row>
    <row r="28" spans="1:18" ht="34.8" customHeight="1">
      <c r="A28" s="86" t="s">
        <v>366</v>
      </c>
      <c r="B28" s="100" t="s">
        <v>359</v>
      </c>
      <c r="D28" t="s">
        <v>353</v>
      </c>
      <c r="E28" s="5" t="s">
        <v>346</v>
      </c>
      <c r="H28" s="97" t="s">
        <v>339</v>
      </c>
      <c r="J28" s="100" t="s">
        <v>358</v>
      </c>
      <c r="L28" s="11" t="s">
        <v>350</v>
      </c>
      <c r="M28" s="97" t="s">
        <v>341</v>
      </c>
      <c r="N28" s="97" t="s">
        <v>351</v>
      </c>
      <c r="O28" s="11" t="s">
        <v>345</v>
      </c>
      <c r="P28" s="11" t="s">
        <v>343</v>
      </c>
      <c r="Q28" s="11" t="s">
        <v>352</v>
      </c>
      <c r="R28" s="99" t="s">
        <v>363</v>
      </c>
    </row>
    <row r="29" spans="1:5" ht="15">
      <c r="A29" s="3" t="s">
        <v>367</v>
      </c>
      <c r="B29" s="74" t="s">
        <v>368</v>
      </c>
      <c r="E29" t="s">
        <v>369</v>
      </c>
    </row>
    <row r="30" spans="1:18" ht="15">
      <c r="A30" s="117" t="s">
        <v>402</v>
      </c>
      <c r="B30">
        <v>17</v>
      </c>
      <c r="C30" t="s">
        <v>0</v>
      </c>
      <c r="D30" t="s">
        <v>376</v>
      </c>
      <c r="E30" t="s">
        <v>387</v>
      </c>
      <c r="H30" s="3" t="s">
        <v>357</v>
      </c>
      <c r="J30">
        <f>Q30*B30</f>
        <v>22.440000000000367</v>
      </c>
      <c r="L30">
        <v>211.05</v>
      </c>
      <c r="M30">
        <v>209.23</v>
      </c>
      <c r="N30">
        <v>-1</v>
      </c>
      <c r="O30">
        <v>150</v>
      </c>
      <c r="P30" s="98">
        <f>(L30+N30-M30)/B30</f>
        <v>0.04823529411764833</v>
      </c>
      <c r="Q30">
        <f>L30-M30+N30/2</f>
        <v>1.3200000000000216</v>
      </c>
      <c r="R30" s="101" t="s">
        <v>377</v>
      </c>
    </row>
    <row r="31" spans="1:18" ht="15">
      <c r="A31" s="3" t="s">
        <v>396</v>
      </c>
      <c r="B31">
        <v>3.8</v>
      </c>
      <c r="C31" t="s">
        <v>0</v>
      </c>
      <c r="D31" t="s">
        <v>354</v>
      </c>
      <c r="H31" s="5" t="s">
        <v>380</v>
      </c>
      <c r="J31">
        <f>Q31*B31</f>
        <v>7.523999999999961</v>
      </c>
      <c r="L31">
        <v>211.2</v>
      </c>
      <c r="M31">
        <v>208.47</v>
      </c>
      <c r="N31">
        <v>-1.5</v>
      </c>
      <c r="O31">
        <v>150</v>
      </c>
      <c r="P31" s="98">
        <f>(L31+N31-M31)/B31</f>
        <v>0.32368421052631313</v>
      </c>
      <c r="Q31">
        <f>L31-M31+N31/2</f>
        <v>1.9799999999999898</v>
      </c>
      <c r="R31" s="101" t="s">
        <v>399</v>
      </c>
    </row>
    <row r="32" spans="1:8" ht="15">
      <c r="A32" s="3" t="s">
        <v>447</v>
      </c>
      <c r="B32">
        <v>0</v>
      </c>
      <c r="E32" s="77" t="s">
        <v>448</v>
      </c>
      <c r="H32" s="5" t="s">
        <v>455</v>
      </c>
    </row>
    <row r="33" ht="15">
      <c r="H33" s="5"/>
    </row>
    <row r="34" spans="1:11" ht="15">
      <c r="A34" s="105" t="s">
        <v>310</v>
      </c>
      <c r="B34" s="106">
        <f>SUM(B29:B32)</f>
        <v>20.8</v>
      </c>
      <c r="C34" s="106" t="s">
        <v>0</v>
      </c>
      <c r="D34" s="106"/>
      <c r="E34" s="106"/>
      <c r="F34" s="105"/>
      <c r="G34" s="107"/>
      <c r="H34" s="106">
        <f>SUM(H29:H31)</f>
        <v>0</v>
      </c>
      <c r="I34" s="106" t="s">
        <v>0</v>
      </c>
      <c r="J34" s="106">
        <f>SUM(J29:J31)</f>
        <v>29.96400000000033</v>
      </c>
      <c r="K34" s="106" t="s">
        <v>2</v>
      </c>
    </row>
    <row r="35" spans="1:2" ht="15">
      <c r="A35" s="106">
        <f>COUNTA(A29:A32)</f>
        <v>4</v>
      </c>
      <c r="B35" s="106" t="s">
        <v>400</v>
      </c>
    </row>
    <row r="37" spans="1:8" ht="15">
      <c r="A37" s="3" t="s">
        <v>310</v>
      </c>
      <c r="B37">
        <f>B34+B26+B16</f>
        <v>127.30000000000001</v>
      </c>
      <c r="C37" t="s">
        <v>0</v>
      </c>
      <c r="H37">
        <f>H16+H26+H34</f>
        <v>47.800000000000004</v>
      </c>
    </row>
    <row r="38" ht="15">
      <c r="A38" t="s">
        <v>449</v>
      </c>
    </row>
    <row r="39" ht="15">
      <c r="A39" t="s">
        <v>450</v>
      </c>
    </row>
    <row r="40" spans="1:9" ht="15">
      <c r="A40" s="3" t="s">
        <v>400</v>
      </c>
      <c r="B40">
        <v>18</v>
      </c>
      <c r="C40" s="3">
        <v>-3</v>
      </c>
      <c r="D40" s="74" t="s">
        <v>453</v>
      </c>
      <c r="G40" s="8">
        <f>B40+C40</f>
        <v>15</v>
      </c>
      <c r="H40" s="3" t="s">
        <v>452</v>
      </c>
      <c r="I40">
        <f>A17+A27+A35-3</f>
        <v>15</v>
      </c>
    </row>
    <row r="41" spans="1:9" ht="15">
      <c r="A41" s="117" t="s">
        <v>451</v>
      </c>
      <c r="B41">
        <v>4</v>
      </c>
      <c r="C41">
        <v>-1</v>
      </c>
      <c r="D41" s="74" t="s">
        <v>454</v>
      </c>
      <c r="I41">
        <v>3</v>
      </c>
    </row>
  </sheetData>
  <mergeCells count="1">
    <mergeCell ref="G5:G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Dopravoprojekt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Vondrušková Hana</dc:creator>
  <cp:keywords/>
  <dc:description/>
  <cp:lastModifiedBy>Vondrušková Hana</cp:lastModifiedBy>
  <cp:lastPrinted>2020-10-09T09:03:42Z</cp:lastPrinted>
  <dcterms:created xsi:type="dcterms:W3CDTF">2020-08-27T08:46:01Z</dcterms:created>
  <dcterms:modified xsi:type="dcterms:W3CDTF">2020-10-09T11:03:21Z</dcterms:modified>
  <cp:category/>
  <cp:version/>
  <cp:contentType/>
  <cp:contentStatus/>
</cp:coreProperties>
</file>