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zdi" sheetId="1" r:id="rId1"/>
    <sheet name="podelne_opevneni" sheetId="2" r:id="rId2"/>
    <sheet name="pricne_objekty" sheetId="3" r:id="rId3"/>
    <sheet name="List5" sheetId="4" r:id="rId4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57" i="4"/>
  <c r="H57"/>
  <c r="J56"/>
  <c r="G56"/>
  <c r="D56"/>
  <c r="E56" s="1"/>
  <c r="J55"/>
  <c r="G55"/>
  <c r="D55"/>
  <c r="E55" s="1"/>
  <c r="J54"/>
  <c r="G54"/>
  <c r="D54"/>
  <c r="E54" s="1"/>
  <c r="J53"/>
  <c r="G53"/>
  <c r="D53"/>
  <c r="E53" s="1"/>
  <c r="J52"/>
  <c r="G52"/>
  <c r="D52"/>
  <c r="E52" s="1"/>
  <c r="J51"/>
  <c r="G51"/>
  <c r="D51"/>
  <c r="E51" s="1"/>
  <c r="J50"/>
  <c r="G50"/>
  <c r="D50"/>
  <c r="E50" s="1"/>
  <c r="J49"/>
  <c r="G49"/>
  <c r="D49"/>
  <c r="E49" s="1"/>
  <c r="J48"/>
  <c r="G48"/>
  <c r="D48"/>
  <c r="E48" s="1"/>
  <c r="J47"/>
  <c r="G47"/>
  <c r="D47"/>
  <c r="E47" s="1"/>
  <c r="J46"/>
  <c r="G46"/>
  <c r="D46"/>
  <c r="E46" s="1"/>
  <c r="J45"/>
  <c r="G45"/>
  <c r="D45"/>
  <c r="E45" s="1"/>
  <c r="J44"/>
  <c r="G44"/>
  <c r="D44"/>
  <c r="E44" s="1"/>
  <c r="J43"/>
  <c r="G43"/>
  <c r="D43"/>
  <c r="E43" s="1"/>
  <c r="J42"/>
  <c r="G42"/>
  <c r="D42"/>
  <c r="E42" s="1"/>
  <c r="J41"/>
  <c r="G41"/>
  <c r="D41"/>
  <c r="E41" s="1"/>
  <c r="J40"/>
  <c r="G40"/>
  <c r="D40"/>
  <c r="E40" s="1"/>
  <c r="J39"/>
  <c r="G39"/>
  <c r="D39"/>
  <c r="E39" s="1"/>
  <c r="J38"/>
  <c r="G38"/>
  <c r="D38"/>
  <c r="E38" s="1"/>
  <c r="J37"/>
  <c r="G37"/>
  <c r="D37"/>
  <c r="E37" s="1"/>
  <c r="J36"/>
  <c r="G36"/>
  <c r="D36"/>
  <c r="E36" s="1"/>
  <c r="J35"/>
  <c r="G35"/>
  <c r="D35"/>
  <c r="E35" s="1"/>
  <c r="J34"/>
  <c r="G34"/>
  <c r="D34"/>
  <c r="E34" s="1"/>
  <c r="J33"/>
  <c r="G33"/>
  <c r="D33"/>
  <c r="E33" s="1"/>
  <c r="R32"/>
  <c r="Q32"/>
  <c r="P32"/>
  <c r="O32"/>
  <c r="N32"/>
  <c r="M32"/>
  <c r="J32"/>
  <c r="G32"/>
  <c r="F32"/>
  <c r="D32"/>
  <c r="E32" s="1"/>
  <c r="R31"/>
  <c r="Q31"/>
  <c r="P31"/>
  <c r="O31"/>
  <c r="N31"/>
  <c r="M31"/>
  <c r="J31"/>
  <c r="G31"/>
  <c r="F31"/>
  <c r="E31"/>
  <c r="D31"/>
  <c r="R30"/>
  <c r="Q30"/>
  <c r="P30"/>
  <c r="O30"/>
  <c r="N30"/>
  <c r="M30"/>
  <c r="J30"/>
  <c r="G30"/>
  <c r="F30"/>
  <c r="E30"/>
  <c r="D30"/>
  <c r="R29"/>
  <c r="Q29"/>
  <c r="P29"/>
  <c r="O29"/>
  <c r="N29"/>
  <c r="M29"/>
  <c r="J29"/>
  <c r="G29"/>
  <c r="F29"/>
  <c r="D29"/>
  <c r="E29" s="1"/>
  <c r="J28"/>
  <c r="G28"/>
  <c r="D28"/>
  <c r="E28" s="1"/>
  <c r="R27"/>
  <c r="Q27"/>
  <c r="P27"/>
  <c r="O27"/>
  <c r="N27"/>
  <c r="M27"/>
  <c r="J27"/>
  <c r="G27"/>
  <c r="F27"/>
  <c r="D27"/>
  <c r="E27" s="1"/>
  <c r="R26"/>
  <c r="Q26"/>
  <c r="P26"/>
  <c r="O26"/>
  <c r="N26"/>
  <c r="M26"/>
  <c r="J26"/>
  <c r="G26"/>
  <c r="F26"/>
  <c r="E26"/>
  <c r="D26"/>
  <c r="R25"/>
  <c r="Q25"/>
  <c r="P25"/>
  <c r="O25"/>
  <c r="N25"/>
  <c r="M25"/>
  <c r="J25"/>
  <c r="G25"/>
  <c r="F25"/>
  <c r="E25"/>
  <c r="D25"/>
  <c r="R24"/>
  <c r="Q24"/>
  <c r="P24"/>
  <c r="P57" s="1"/>
  <c r="O24"/>
  <c r="O57" s="1"/>
  <c r="N24"/>
  <c r="M24"/>
  <c r="L24"/>
  <c r="K24"/>
  <c r="J24"/>
  <c r="G24"/>
  <c r="F24"/>
  <c r="E24"/>
  <c r="D24"/>
  <c r="R23"/>
  <c r="R57" s="1"/>
  <c r="Q23"/>
  <c r="Q57" s="1"/>
  <c r="P23"/>
  <c r="O23"/>
  <c r="N23"/>
  <c r="N57" s="1"/>
  <c r="M23"/>
  <c r="L23"/>
  <c r="K23"/>
  <c r="J23"/>
  <c r="G23"/>
  <c r="F23"/>
  <c r="F57" s="1"/>
  <c r="D23"/>
  <c r="E23" s="1"/>
  <c r="J22"/>
  <c r="G22"/>
  <c r="D22"/>
  <c r="E22" s="1"/>
  <c r="J21"/>
  <c r="G21"/>
  <c r="D21"/>
  <c r="E21" s="1"/>
  <c r="J20"/>
  <c r="G20"/>
  <c r="D20"/>
  <c r="E20" s="1"/>
  <c r="J19"/>
  <c r="G19"/>
  <c r="D19"/>
  <c r="E19" s="1"/>
  <c r="J18"/>
  <c r="G18"/>
  <c r="D18"/>
  <c r="E18" s="1"/>
  <c r="J17"/>
  <c r="G17"/>
  <c r="D17"/>
  <c r="E17" s="1"/>
  <c r="J16"/>
  <c r="G16"/>
  <c r="D16"/>
  <c r="E16" s="1"/>
  <c r="J15"/>
  <c r="G15"/>
  <c r="D15"/>
  <c r="E15" s="1"/>
  <c r="J14"/>
  <c r="G14"/>
  <c r="D14"/>
  <c r="E14" s="1"/>
  <c r="J13"/>
  <c r="G13"/>
  <c r="D13"/>
  <c r="E13" s="1"/>
  <c r="J12"/>
  <c r="G12"/>
  <c r="D12"/>
  <c r="E12" s="1"/>
  <c r="M11"/>
  <c r="L11"/>
  <c r="K11"/>
  <c r="J11"/>
  <c r="G11"/>
  <c r="E11"/>
  <c r="D11"/>
  <c r="J10"/>
  <c r="G10"/>
  <c r="E10"/>
  <c r="D10"/>
  <c r="J9"/>
  <c r="G9"/>
  <c r="E9"/>
  <c r="D9"/>
  <c r="M8"/>
  <c r="L8"/>
  <c r="K8"/>
  <c r="J8"/>
  <c r="G8"/>
  <c r="E8"/>
  <c r="D8"/>
  <c r="M7"/>
  <c r="L7"/>
  <c r="L57" s="1"/>
  <c r="K7"/>
  <c r="J7"/>
  <c r="G7"/>
  <c r="D7"/>
  <c r="D57" s="1"/>
  <c r="M6"/>
  <c r="M57" s="1"/>
  <c r="K6"/>
  <c r="K57" s="1"/>
  <c r="J6"/>
  <c r="G6"/>
  <c r="E6"/>
  <c r="D6"/>
  <c r="J5"/>
  <c r="J57" s="1"/>
  <c r="G5"/>
  <c r="G57" s="1"/>
  <c r="E5"/>
  <c r="D5"/>
  <c r="I10" i="3"/>
  <c r="H10"/>
  <c r="F10"/>
  <c r="J9"/>
  <c r="G9"/>
  <c r="E9"/>
  <c r="D9"/>
  <c r="J8"/>
  <c r="G8"/>
  <c r="E8"/>
  <c r="D8"/>
  <c r="J7"/>
  <c r="G7"/>
  <c r="E7"/>
  <c r="E10" s="1"/>
  <c r="D7"/>
  <c r="D10" s="1"/>
  <c r="J6"/>
  <c r="I6"/>
  <c r="G6"/>
  <c r="E6"/>
  <c r="D6"/>
  <c r="J5"/>
  <c r="J10" s="1"/>
  <c r="G5"/>
  <c r="G10" s="1"/>
  <c r="E5"/>
  <c r="D5"/>
  <c r="F48" i="2"/>
  <c r="F47"/>
  <c r="G47" s="1"/>
  <c r="D47"/>
  <c r="B47"/>
  <c r="C47" s="1"/>
  <c r="A47"/>
  <c r="E47" s="1"/>
  <c r="F46"/>
  <c r="F45"/>
  <c r="G45" s="1"/>
  <c r="D45"/>
  <c r="B45"/>
  <c r="C45" s="1"/>
  <c r="A45"/>
  <c r="E45" s="1"/>
  <c r="F44"/>
  <c r="F43"/>
  <c r="G43" s="1"/>
  <c r="D43"/>
  <c r="B43"/>
  <c r="C43" s="1"/>
  <c r="A43"/>
  <c r="E43" s="1"/>
  <c r="F42"/>
  <c r="F41"/>
  <c r="G41" s="1"/>
  <c r="D41"/>
  <c r="B41"/>
  <c r="C41" s="1"/>
  <c r="A41"/>
  <c r="E41" s="1"/>
  <c r="F40"/>
  <c r="F39"/>
  <c r="G39" s="1"/>
  <c r="D39"/>
  <c r="B39"/>
  <c r="C39" s="1"/>
  <c r="A39"/>
  <c r="E39" s="1"/>
  <c r="F38"/>
  <c r="F37"/>
  <c r="G37" s="1"/>
  <c r="D37"/>
  <c r="B37"/>
  <c r="C37" s="1"/>
  <c r="A37"/>
  <c r="E37" s="1"/>
  <c r="F36"/>
  <c r="D18"/>
  <c r="B18"/>
  <c r="C18" s="1"/>
  <c r="A18"/>
  <c r="E18" s="1"/>
  <c r="D16"/>
  <c r="C16"/>
  <c r="C20" s="1"/>
  <c r="B16"/>
  <c r="A16"/>
  <c r="E16" s="1"/>
  <c r="E20" s="1"/>
  <c r="L9"/>
  <c r="J9"/>
  <c r="K9" s="1"/>
  <c r="H9"/>
  <c r="F9"/>
  <c r="G9" s="1"/>
  <c r="D9"/>
  <c r="B9"/>
  <c r="C9" s="1"/>
  <c r="A9"/>
  <c r="M9" s="1"/>
  <c r="L7"/>
  <c r="K7"/>
  <c r="J7"/>
  <c r="H7"/>
  <c r="G7"/>
  <c r="G11" s="1"/>
  <c r="F7"/>
  <c r="D7"/>
  <c r="C7"/>
  <c r="B7"/>
  <c r="A7"/>
  <c r="M7" s="1"/>
  <c r="B111" i="1"/>
  <c r="H109"/>
  <c r="C103"/>
  <c r="B103"/>
  <c r="B84"/>
  <c r="B108" s="1"/>
  <c r="E77"/>
  <c r="C71"/>
  <c r="B71"/>
  <c r="B54"/>
  <c r="B66" s="1"/>
  <c r="C41"/>
  <c r="B41"/>
  <c r="B27"/>
  <c r="B26"/>
  <c r="B25"/>
  <c r="B24"/>
  <c r="B23"/>
  <c r="B22"/>
  <c r="B18"/>
  <c r="D18" s="1"/>
  <c r="F18" s="1"/>
  <c r="H18" s="1"/>
  <c r="D17"/>
  <c r="F17" s="1"/>
  <c r="H17" s="1"/>
  <c r="D16"/>
  <c r="F16" s="1"/>
  <c r="H16" s="1"/>
  <c r="B15"/>
  <c r="D15" s="1"/>
  <c r="F15" s="1"/>
  <c r="C12"/>
  <c r="E11"/>
  <c r="B11"/>
  <c r="B36" s="1"/>
  <c r="C10"/>
  <c r="C11" l="1"/>
  <c r="D11" s="1"/>
  <c r="D13" s="1"/>
  <c r="B34"/>
  <c r="D86"/>
  <c r="D103"/>
  <c r="D105" s="1"/>
  <c r="B94"/>
  <c r="D41"/>
  <c r="D43" s="1"/>
  <c r="D71"/>
  <c r="D73" s="1"/>
  <c r="B46"/>
  <c r="E46" s="1"/>
  <c r="F19"/>
  <c r="H15"/>
  <c r="H19" s="1"/>
  <c r="C11" i="2"/>
  <c r="C49"/>
  <c r="E49"/>
  <c r="M11"/>
  <c r="K11"/>
  <c r="G49"/>
  <c r="B35" i="1"/>
  <c r="D56"/>
  <c r="B65"/>
  <c r="B95"/>
  <c r="E7" i="2"/>
  <c r="I7"/>
  <c r="E7" i="4"/>
  <c r="E57" s="1"/>
  <c r="B76" i="1"/>
  <c r="F11"/>
  <c r="F13" s="1"/>
  <c r="B45"/>
  <c r="F56"/>
  <c r="F86"/>
  <c r="E9" i="2"/>
  <c r="I9"/>
  <c r="B29" i="1" l="1"/>
  <c r="B30"/>
  <c r="B28"/>
  <c r="I11" i="2"/>
  <c r="E11"/>
</calcChain>
</file>

<file path=xl/comments1.xml><?xml version="1.0" encoding="utf-8"?>
<comments xmlns="http://schemas.openxmlformats.org/spreadsheetml/2006/main">
  <authors>
    <author/>
  </authors>
  <commentList>
    <comment ref="F4" authorId="0">
      <text>
        <r>
          <rPr>
            <sz val="10"/>
            <color rgb="FF000000"/>
            <rFont val="Arial"/>
            <family val="2"/>
            <charset val="238"/>
          </rPr>
          <t>Jámy místo rýh. Rýhy jsou pouze do 2,0 m.</t>
        </r>
      </text>
    </comment>
    <comment ref="H4" authorId="0">
      <text>
        <r>
          <rPr>
            <sz val="10"/>
            <color rgb="FF000000"/>
            <rFont val="Arial"/>
            <family val="2"/>
            <charset val="238"/>
          </rPr>
          <t>Doplnění nového záhozu</t>
        </r>
      </text>
    </comment>
    <comment ref="F34" authorId="0">
      <text>
        <r>
          <rPr>
            <sz val="10"/>
            <color rgb="FF000000"/>
            <rFont val="Arial"/>
            <family val="2"/>
            <charset val="238"/>
          </rPr>
          <t>Jámy místo rýh. Rýhy jsou pouze do 2,0 m.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G5" authorId="0">
      <text>
        <r>
          <rPr>
            <sz val="10"/>
            <color rgb="FF000000"/>
            <rFont val="Arial"/>
            <family val="2"/>
            <charset val="238"/>
          </rPr>
          <t>namísto hloubky 1,4 je 1,26, což je 90 % z výšky</t>
        </r>
      </text>
    </comment>
  </commentList>
</comments>
</file>

<file path=xl/sharedStrings.xml><?xml version="1.0" encoding="utf-8"?>
<sst xmlns="http://schemas.openxmlformats.org/spreadsheetml/2006/main" count="265" uniqueCount="113">
  <si>
    <t>Tabulka kubatur – Vidnavka - změna stavby před dokončením</t>
  </si>
  <si>
    <t>Opěrné zdi</t>
  </si>
  <si>
    <t xml:space="preserve">zeď LB km </t>
  </si>
  <si>
    <t>9,087-9,180</t>
  </si>
  <si>
    <t xml:space="preserve">zeď PB km </t>
  </si>
  <si>
    <t>9,734-9,764</t>
  </si>
  <si>
    <t>9,764-9,793</t>
  </si>
  <si>
    <t>Kubatury zeď LB km 9,087-9,180</t>
  </si>
  <si>
    <t>STANIČENÍ</t>
  </si>
  <si>
    <t>DÉLKA ÚSEKU</t>
  </si>
  <si>
    <t>ŘÍMSA BETON C35/45 XF4</t>
  </si>
  <si>
    <t>ŘÍMSA BEDNĚNÍ</t>
  </si>
  <si>
    <t>ř. km</t>
  </si>
  <si>
    <t>m</t>
  </si>
  <si>
    <t>m2</t>
  </si>
  <si>
    <t>m3</t>
  </si>
  <si>
    <t>CELKEM</t>
  </si>
  <si>
    <t>výztuž ø 12 dl. 5,9 m</t>
  </si>
  <si>
    <t>ks</t>
  </si>
  <si>
    <t>kg</t>
  </si>
  <si>
    <t>t</t>
  </si>
  <si>
    <t>výztuž ø 12 dl. 2,9 m</t>
  </si>
  <si>
    <t>výztuž ø 12 dl. 1,9 m</t>
  </si>
  <si>
    <t>výztuž ø 6 dl. 1,16 m</t>
  </si>
  <si>
    <t>celkem</t>
  </si>
  <si>
    <t>Kotvení římsy ke zdi</t>
  </si>
  <si>
    <t>pásek 80x10 mm, dl. 658 mm</t>
  </si>
  <si>
    <t>podložka ø 140 tl. 10 mm</t>
  </si>
  <si>
    <t>kotevní šroub M24 dl. 200 mm</t>
  </si>
  <si>
    <t>vrtání otvoru + lepení</t>
  </si>
  <si>
    <t>matice M24 + podložka</t>
  </si>
  <si>
    <t>zálivka asf. mod.</t>
  </si>
  <si>
    <t>výplň dil. spár římsy tmelem</t>
  </si>
  <si>
    <t>dl. spáry x počet ks</t>
  </si>
  <si>
    <t>těsnící provazec římsa</t>
  </si>
  <si>
    <t>dl. provazce x počet dilatací</t>
  </si>
  <si>
    <t>polystyren dil. spára římsa</t>
  </si>
  <si>
    <t>šířka římsy x výška římsy x počet dilatací</t>
  </si>
  <si>
    <t>výplň dil. spáry zdi tmelem</t>
  </si>
  <si>
    <t>těsn. provazec – dil. spára zeď</t>
  </si>
  <si>
    <t>vysekání dil. spáry zdi - revize</t>
  </si>
  <si>
    <t>otryskání, penetrace pod římsou</t>
  </si>
  <si>
    <t>dosyp zeminou za zdí</t>
  </si>
  <si>
    <t>osetí</t>
  </si>
  <si>
    <t>to stejné x 0,15 m bude ohumusování</t>
  </si>
  <si>
    <t>DOPLNĚNÍ KAMENNÉ PATKY</t>
  </si>
  <si>
    <t>to stejné bude výkop</t>
  </si>
  <si>
    <t>ukončení dilatací</t>
  </si>
  <si>
    <t>seříznutí těsnícího pásu</t>
  </si>
  <si>
    <t>ukončení výustí drenáže</t>
  </si>
  <si>
    <t>se zatmelením</t>
  </si>
  <si>
    <t>Kubatury zeď PB km 9,734-9,764</t>
  </si>
  <si>
    <t>Kubatury zeď PB km 9,764-9,793</t>
  </si>
  <si>
    <t>seříznutím na 50 mm se zatmelením</t>
  </si>
  <si>
    <t>ukončení výustí celkem</t>
  </si>
  <si>
    <t>seříznutí na 50 mm se zatmelením + zaplnění větších děr sanační maltou</t>
  </si>
  <si>
    <t>Podélné opevnění</t>
  </si>
  <si>
    <t>LB km 9,180-9,210 – doplnění opevnění – napojení zavázání zdi na stávající opevnění (zához z LK)</t>
  </si>
  <si>
    <t>TABULKA OBJEKTU [m3],  [m2] – 9,180 – 9,210 LB zához z lom. kamene</t>
  </si>
  <si>
    <t>Staničení [m]</t>
  </si>
  <si>
    <t>VÝKOP</t>
  </si>
  <si>
    <t>BOURÁNÍ ZÁHOZU</t>
  </si>
  <si>
    <t>RÝHY</t>
  </si>
  <si>
    <t>ZÁHOZ Z LK</t>
  </si>
  <si>
    <t>ÚPRAVA PLÁNĚ</t>
  </si>
  <si>
    <t>SVAHOVÁNÍ VÝKOP</t>
  </si>
  <si>
    <t>Interval [m]</t>
  </si>
  <si>
    <t>Plocha [m2]</t>
  </si>
  <si>
    <t>Vý [m3]</t>
  </si>
  <si>
    <t>Bo [m3]</t>
  </si>
  <si>
    <t>Rý [m3]</t>
  </si>
  <si>
    <t>Z [m3]</t>
  </si>
  <si>
    <t>Délka [m]</t>
  </si>
  <si>
    <t>Up_P [m2]</t>
  </si>
  <si>
    <t>Sv_V [m2]</t>
  </si>
  <si>
    <t>Suma</t>
  </si>
  <si>
    <t>UROVNÁNÍ LÍCE</t>
  </si>
  <si>
    <t>PROLITÍ BETONEM</t>
  </si>
  <si>
    <t>Ur [m2]</t>
  </si>
  <si>
    <t>Pro [m3]</t>
  </si>
  <si>
    <t>PB km 7,812-7,912 – svahování do sklonu 1:3</t>
  </si>
  <si>
    <t>TABULKA OBJEKTU [m3],  [m2] – PB 7,812-7,912 – svahování</t>
  </si>
  <si>
    <t>SVAHOVÁNÍ</t>
  </si>
  <si>
    <t>PŘEBYTEK ZEMINY</t>
  </si>
  <si>
    <t>OSETÍ</t>
  </si>
  <si>
    <t>Sv [m2]</t>
  </si>
  <si>
    <t>Př [m3]</t>
  </si>
  <si>
    <t>Os [m2]</t>
  </si>
  <si>
    <t>Příčné objekty</t>
  </si>
  <si>
    <t>TABULKA OBJEKTŮ [m3],  [m2] – PŘÍČNÉ STABILIZACE – KAMENNÉ PASY</t>
  </si>
  <si>
    <t>Délka pasu vč. založení [m]</t>
  </si>
  <si>
    <t>Kamenný pas z LK hm. nad 1000kg [m3]</t>
  </si>
  <si>
    <t xml:space="preserve">Zához do dna z LK
hm. do 500 kg [m3]
</t>
  </si>
  <si>
    <t>Zához z LK  [m3]
(podélné opevnění)</t>
  </si>
  <si>
    <t xml:space="preserve">Hloubení jam (pasy do dna) [m3]
</t>
  </si>
  <si>
    <t xml:space="preserve">Filtrační podkladová vrstva
fr.63-125 mm [m2]
</t>
  </si>
  <si>
    <t xml:space="preserve">Filtrační podkladová vrstva
fr.32-63 mm [m2]
</t>
  </si>
  <si>
    <t>Převedení vody [m]</t>
  </si>
  <si>
    <t>TAB. 3 – SO 03 TABULKA OBJEKTŮ – Konstrukce příčných objektů (pasy, skluzy, brod, zaústění)</t>
  </si>
  <si>
    <t>3.1 – TABULKA OBJEKTŮ [m3],  [m2] – PŘÍČNÉ STABILIZACE – KAMENNÉ PASY</t>
  </si>
  <si>
    <t>Bourání stávajícího záhozu [m3]</t>
  </si>
  <si>
    <t>Zpětné uložení záhozu [m3]</t>
  </si>
  <si>
    <t>Hloubení rýh [m3]</t>
  </si>
  <si>
    <t xml:space="preserve">Výkop pro podélné opevnění patky [m3]
</t>
  </si>
  <si>
    <t>Násyp/zásyp [m3]</t>
  </si>
  <si>
    <t xml:space="preserve">Svahování násypu [m2]
</t>
  </si>
  <si>
    <t xml:space="preserve">Svahování výkopu [m2]
</t>
  </si>
  <si>
    <t xml:space="preserve">Urovnání líce [m2]
</t>
  </si>
  <si>
    <t>Obkladové zdivo z kamene</t>
  </si>
  <si>
    <t>Bednění</t>
  </si>
  <si>
    <t>polystyren dil. spára</t>
  </si>
  <si>
    <t>otryskání, penetrace</t>
  </si>
  <si>
    <t>koruna a plocha zdi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</si>
</sst>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2">
    <font>
      <sz val="10"/>
      <name val="Arial"/>
      <family val="2"/>
      <charset val="238"/>
    </font>
    <font>
      <sz val="10"/>
      <color rgb="FF000000"/>
      <name val="Lucida Sans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Calibri Light"/>
      <family val="2"/>
      <charset val="238"/>
    </font>
    <font>
      <sz val="10"/>
      <name val="Calibri Light"/>
      <family val="2"/>
      <charset val="238"/>
    </font>
    <font>
      <b/>
      <u/>
      <sz val="10"/>
      <name val="Calibri Light"/>
      <family val="2"/>
      <charset val="238"/>
    </font>
    <font>
      <sz val="10"/>
      <color rgb="FF000000"/>
      <name val="Arial"/>
      <family val="2"/>
      <charset val="238"/>
    </font>
    <font>
      <b/>
      <sz val="9.5"/>
      <name val="Arial"/>
      <family val="2"/>
      <charset val="238"/>
    </font>
    <font>
      <b/>
      <u/>
      <sz val="11"/>
      <name val="Palatino Linotyp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DDDDD"/>
        <bgColor rgb="FFDCDCDC"/>
      </patternFill>
    </fill>
    <fill>
      <patternFill patternType="solid">
        <fgColor rgb="FFDCDCDC"/>
        <bgColor rgb="FFDDDDDD"/>
      </patternFill>
    </fill>
    <fill>
      <patternFill patternType="solid">
        <fgColor rgb="FFEEEEEE"/>
        <bgColor rgb="FFE6E6E6"/>
      </patternFill>
    </fill>
    <fill>
      <patternFill patternType="solid">
        <fgColor rgb="FFE6E6E6"/>
        <bgColor rgb="FFEEEEEE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91">
    <xf numFmtId="0" fontId="0" fillId="0" borderId="0" xfId="0"/>
    <xf numFmtId="0" fontId="11" fillId="0" borderId="23" xfId="0" applyFont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6" fillId="5" borderId="4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Font="1" applyBorder="1" applyAlignment="1">
      <alignment horizontal="center"/>
    </xf>
    <xf numFmtId="164" fontId="0" fillId="3" borderId="1" xfId="0" applyNumberFormat="1" applyFill="1" applyBorder="1"/>
    <xf numFmtId="0" fontId="0" fillId="0" borderId="1" xfId="0" applyBorder="1"/>
    <xf numFmtId="2" fontId="0" fillId="3" borderId="1" xfId="0" applyNumberFormat="1" applyFill="1" applyBorder="1"/>
    <xf numFmtId="2" fontId="0" fillId="0" borderId="1" xfId="0" applyNumberFormat="1" applyBorder="1"/>
    <xf numFmtId="164" fontId="0" fillId="0" borderId="0" xfId="0" applyNumberFormat="1" applyFont="1"/>
    <xf numFmtId="2" fontId="4" fillId="3" borderId="1" xfId="0" applyNumberFormat="1" applyFont="1" applyFill="1" applyBorder="1"/>
    <xf numFmtId="165" fontId="0" fillId="0" borderId="1" xfId="0" applyNumberFormat="1" applyBorder="1"/>
    <xf numFmtId="164" fontId="0" fillId="0" borderId="1" xfId="0" applyNumberFormat="1" applyBorder="1"/>
    <xf numFmtId="165" fontId="0" fillId="0" borderId="0" xfId="0" applyNumberFormat="1"/>
    <xf numFmtId="2" fontId="4" fillId="0" borderId="1" xfId="0" applyNumberFormat="1" applyFont="1" applyBorder="1"/>
    <xf numFmtId="164" fontId="4" fillId="0" borderId="1" xfId="0" applyNumberFormat="1" applyFont="1" applyBorder="1"/>
    <xf numFmtId="2" fontId="4" fillId="0" borderId="0" xfId="0" applyNumberFormat="1" applyFont="1"/>
    <xf numFmtId="164" fontId="4" fillId="0" borderId="0" xfId="0" applyNumberFormat="1" applyFont="1"/>
    <xf numFmtId="0" fontId="5" fillId="0" borderId="0" xfId="0" applyFont="1"/>
    <xf numFmtId="2" fontId="0" fillId="0" borderId="0" xfId="0" applyNumberFormat="1"/>
    <xf numFmtId="0" fontId="0" fillId="0" borderId="1" xfId="0" applyFont="1" applyBorder="1"/>
    <xf numFmtId="2" fontId="0" fillId="0" borderId="1" xfId="0" applyNumberFormat="1" applyBorder="1"/>
    <xf numFmtId="1" fontId="0" fillId="0" borderId="1" xfId="0" applyNumberFormat="1" applyBorder="1"/>
    <xf numFmtId="0" fontId="0" fillId="0" borderId="0" xfId="0"/>
    <xf numFmtId="0" fontId="6" fillId="5" borderId="3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2" fontId="6" fillId="5" borderId="5" xfId="0" applyNumberFormat="1" applyFont="1" applyFill="1" applyBorder="1" applyAlignment="1">
      <alignment horizontal="center"/>
    </xf>
    <xf numFmtId="2" fontId="6" fillId="5" borderId="6" xfId="0" applyNumberFormat="1" applyFont="1" applyFill="1" applyBorder="1" applyAlignment="1">
      <alignment horizontal="center"/>
    </xf>
    <xf numFmtId="2" fontId="7" fillId="0" borderId="7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2" fontId="7" fillId="0" borderId="10" xfId="0" applyNumberFormat="1" applyFont="1" applyBorder="1" applyAlignment="1">
      <alignment horizontal="right"/>
    </xf>
    <xf numFmtId="2" fontId="7" fillId="0" borderId="11" xfId="0" applyNumberFormat="1" applyFont="1" applyBorder="1" applyAlignment="1">
      <alignment horizontal="right"/>
    </xf>
    <xf numFmtId="2" fontId="7" fillId="0" borderId="12" xfId="0" applyNumberFormat="1" applyFont="1" applyBorder="1" applyAlignment="1">
      <alignment horizontal="right"/>
    </xf>
    <xf numFmtId="2" fontId="6" fillId="5" borderId="9" xfId="0" applyNumberFormat="1" applyFont="1" applyFill="1" applyBorder="1" applyAlignment="1">
      <alignment horizontal="center"/>
    </xf>
    <xf numFmtId="2" fontId="6" fillId="5" borderId="10" xfId="0" applyNumberFormat="1" applyFont="1" applyFill="1" applyBorder="1" applyAlignment="1">
      <alignment horizontal="center"/>
    </xf>
    <xf numFmtId="164" fontId="6" fillId="5" borderId="13" xfId="0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1" fontId="8" fillId="5" borderId="15" xfId="0" applyNumberFormat="1" applyFont="1" applyFill="1" applyBorder="1" applyAlignment="1">
      <alignment horizontal="right"/>
    </xf>
    <xf numFmtId="1" fontId="8" fillId="5" borderId="16" xfId="0" applyNumberFormat="1" applyFont="1" applyFill="1" applyBorder="1" applyAlignment="1">
      <alignment horizontal="right"/>
    </xf>
    <xf numFmtId="0" fontId="7" fillId="0" borderId="17" xfId="0" applyFont="1" applyBorder="1"/>
    <xf numFmtId="0" fontId="7" fillId="0" borderId="0" xfId="0" applyFont="1"/>
    <xf numFmtId="0" fontId="7" fillId="0" borderId="0" xfId="0" applyFont="1"/>
    <xf numFmtId="0" fontId="7" fillId="0" borderId="0" xfId="0" applyFont="1" applyBorder="1"/>
    <xf numFmtId="0" fontId="0" fillId="0" borderId="0" xfId="0" applyBorder="1"/>
    <xf numFmtId="164" fontId="6" fillId="5" borderId="18" xfId="0" applyNumberFormat="1" applyFont="1" applyFill="1" applyBorder="1" applyAlignment="1">
      <alignment horizontal="center"/>
    </xf>
    <xf numFmtId="0" fontId="6" fillId="0" borderId="19" xfId="0" applyFont="1" applyBorder="1" applyAlignment="1">
      <alignment horizontal="center"/>
    </xf>
    <xf numFmtId="1" fontId="8" fillId="5" borderId="20" xfId="0" applyNumberFormat="1" applyFont="1" applyFill="1" applyBorder="1" applyAlignment="1">
      <alignment horizontal="right"/>
    </xf>
    <xf numFmtId="165" fontId="8" fillId="5" borderId="20" xfId="0" applyNumberFormat="1" applyFont="1" applyFill="1" applyBorder="1" applyAlignment="1">
      <alignment horizontal="right"/>
    </xf>
    <xf numFmtId="0" fontId="4" fillId="0" borderId="0" xfId="0" applyFont="1"/>
    <xf numFmtId="0" fontId="6" fillId="4" borderId="21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right"/>
    </xf>
    <xf numFmtId="1" fontId="8" fillId="3" borderId="15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1" fontId="8" fillId="0" borderId="0" xfId="0" applyNumberFormat="1" applyFont="1" applyBorder="1" applyAlignment="1">
      <alignment horizontal="right"/>
    </xf>
    <xf numFmtId="0" fontId="0" fillId="0" borderId="0" xfId="0" applyFont="1"/>
    <xf numFmtId="0" fontId="6" fillId="5" borderId="3" xfId="0" applyFont="1" applyFill="1" applyBorder="1" applyAlignment="1">
      <alignment horizontal="center" vertical="center" textRotation="90" wrapText="1"/>
    </xf>
    <xf numFmtId="0" fontId="0" fillId="0" borderId="0" xfId="0" applyFont="1"/>
    <xf numFmtId="164" fontId="1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Border="1"/>
    <xf numFmtId="2" fontId="0" fillId="0" borderId="0" xfId="0" applyNumberFormat="1" applyBorder="1"/>
    <xf numFmtId="2" fontId="4" fillId="3" borderId="0" xfId="0" applyNumberFormat="1" applyFont="1" applyFill="1" applyBorder="1"/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EEEEEE"/>
      <rgbColor rgb="FF660066"/>
      <rgbColor rgb="FFFF8080"/>
      <rgbColor rgb="FF0066CC"/>
      <rgbColor rgb="FFDCDC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1"/>
  <sheetViews>
    <sheetView tabSelected="1" zoomScaleNormal="100" workbookViewId="0">
      <selection activeCell="P96" sqref="P96"/>
    </sheetView>
  </sheetViews>
  <sheetFormatPr defaultRowHeight="12.75"/>
  <cols>
    <col min="1" max="1" width="27.42578125" customWidth="1"/>
    <col min="2" max="2" width="16.28515625" customWidth="1"/>
    <col min="3" max="3" width="19.42578125" customWidth="1"/>
    <col min="4" max="4" width="13.42578125" customWidth="1"/>
    <col min="5" max="5" width="15.5703125" customWidth="1"/>
    <col min="6" max="6" width="14" customWidth="1"/>
    <col min="7" max="7" width="3.28515625" customWidth="1"/>
    <col min="8" max="8" width="5.7109375" customWidth="1"/>
    <col min="9" max="9" width="2.7109375" customWidth="1"/>
    <col min="10" max="1025" width="11.5703125"/>
  </cols>
  <sheetData>
    <row r="1" spans="1:9" ht="15.75">
      <c r="A1" s="11" t="s">
        <v>0</v>
      </c>
    </row>
    <row r="2" spans="1:9">
      <c r="A2" s="12" t="s">
        <v>1</v>
      </c>
    </row>
    <row r="3" spans="1:9">
      <c r="A3" t="s">
        <v>2</v>
      </c>
      <c r="B3" t="s">
        <v>3</v>
      </c>
    </row>
    <row r="4" spans="1:9">
      <c r="A4" t="s">
        <v>4</v>
      </c>
      <c r="B4" t="s">
        <v>5</v>
      </c>
    </row>
    <row r="5" spans="1:9">
      <c r="A5" t="s">
        <v>4</v>
      </c>
      <c r="B5" t="s">
        <v>6</v>
      </c>
    </row>
    <row r="7" spans="1:9">
      <c r="A7" s="13" t="s">
        <v>7</v>
      </c>
    </row>
    <row r="8" spans="1:9">
      <c r="A8" s="14" t="s">
        <v>8</v>
      </c>
      <c r="B8" s="14" t="s">
        <v>9</v>
      </c>
      <c r="C8" s="10" t="s">
        <v>10</v>
      </c>
      <c r="D8" s="10"/>
      <c r="E8" s="10" t="s">
        <v>11</v>
      </c>
      <c r="F8" s="10"/>
    </row>
    <row r="9" spans="1:9">
      <c r="A9" s="14" t="s">
        <v>12</v>
      </c>
      <c r="B9" s="14" t="s">
        <v>13</v>
      </c>
      <c r="C9" s="14" t="s">
        <v>14</v>
      </c>
      <c r="D9" s="14" t="s">
        <v>15</v>
      </c>
      <c r="E9" s="14" t="s">
        <v>13</v>
      </c>
      <c r="F9" s="14" t="s">
        <v>14</v>
      </c>
    </row>
    <row r="10" spans="1:9">
      <c r="A10" s="15">
        <v>9.0869999999999997</v>
      </c>
      <c r="B10" s="16"/>
      <c r="C10" s="17">
        <f>0.495*0.255</f>
        <v>0.126225</v>
      </c>
      <c r="D10" s="18"/>
      <c r="E10" s="17">
        <v>1.0840000000000001</v>
      </c>
      <c r="F10" s="18"/>
    </row>
    <row r="11" spans="1:9">
      <c r="A11" s="16"/>
      <c r="B11" s="16">
        <f>((A12-A10)*1000)+2</f>
        <v>94.999999999999972</v>
      </c>
      <c r="C11" s="18">
        <f>(C10+C12)/2</f>
        <v>0.126225</v>
      </c>
      <c r="D11" s="18">
        <f>B11*C11</f>
        <v>11.991374999999996</v>
      </c>
      <c r="E11" s="18">
        <f>(E10+E12)/2</f>
        <v>1.0840000000000001</v>
      </c>
      <c r="F11" s="18">
        <f>B11*E11</f>
        <v>102.97999999999998</v>
      </c>
    </row>
    <row r="12" spans="1:9">
      <c r="A12" s="15">
        <v>9.18</v>
      </c>
      <c r="B12" s="16"/>
      <c r="C12" s="17">
        <f>0.495*0.255</f>
        <v>0.126225</v>
      </c>
      <c r="D12" s="18"/>
      <c r="E12" s="17">
        <v>1.0840000000000001</v>
      </c>
      <c r="F12" s="18"/>
    </row>
    <row r="13" spans="1:9">
      <c r="A13" s="19" t="s">
        <v>16</v>
      </c>
      <c r="C13" s="18"/>
      <c r="D13" s="20">
        <f>SUM(D10:D12)</f>
        <v>11.991374999999996</v>
      </c>
      <c r="E13" s="18"/>
      <c r="F13" s="20">
        <f>SUM(F10:F12)</f>
        <v>102.97999999999998</v>
      </c>
    </row>
    <row r="15" spans="1:9">
      <c r="A15" s="16" t="s">
        <v>17</v>
      </c>
      <c r="B15" s="16">
        <f>9*15</f>
        <v>135</v>
      </c>
      <c r="C15" s="16" t="s">
        <v>18</v>
      </c>
      <c r="D15" s="21">
        <f>B15*5.9</f>
        <v>796.5</v>
      </c>
      <c r="E15" s="16" t="s">
        <v>13</v>
      </c>
      <c r="F15" s="18">
        <f>D15*0.89</f>
        <v>708.88499999999999</v>
      </c>
      <c r="G15" s="16" t="s">
        <v>19</v>
      </c>
      <c r="H15" s="22">
        <f>F15/1000</f>
        <v>0.70888499999999999</v>
      </c>
      <c r="I15" s="16" t="s">
        <v>20</v>
      </c>
    </row>
    <row r="16" spans="1:9">
      <c r="A16" s="16" t="s">
        <v>21</v>
      </c>
      <c r="B16" s="16">
        <v>9</v>
      </c>
      <c r="C16" s="16" t="s">
        <v>18</v>
      </c>
      <c r="D16" s="21">
        <f>B16*2.9</f>
        <v>26.099999999999998</v>
      </c>
      <c r="E16" s="16" t="s">
        <v>13</v>
      </c>
      <c r="F16" s="18">
        <f>D16*0.89</f>
        <v>23.228999999999999</v>
      </c>
      <c r="G16" s="16" t="s">
        <v>19</v>
      </c>
      <c r="H16" s="22">
        <f>F16/1000</f>
        <v>2.3229E-2</v>
      </c>
      <c r="I16" s="16" t="s">
        <v>20</v>
      </c>
    </row>
    <row r="17" spans="1:9">
      <c r="A17" s="16" t="s">
        <v>22</v>
      </c>
      <c r="B17" s="16">
        <v>9</v>
      </c>
      <c r="C17" s="16" t="s">
        <v>18</v>
      </c>
      <c r="D17" s="21">
        <f>B17*1.9</f>
        <v>17.099999999999998</v>
      </c>
      <c r="E17" s="16" t="s">
        <v>13</v>
      </c>
      <c r="F17" s="18">
        <f>D17*0.89</f>
        <v>15.218999999999998</v>
      </c>
      <c r="G17" s="16" t="s">
        <v>19</v>
      </c>
      <c r="H17" s="22">
        <f>F17/1000</f>
        <v>1.5218999999999998E-2</v>
      </c>
      <c r="I17" s="16" t="s">
        <v>20</v>
      </c>
    </row>
    <row r="18" spans="1:9">
      <c r="A18" s="16" t="s">
        <v>23</v>
      </c>
      <c r="B18" s="16">
        <f>372+1</f>
        <v>373</v>
      </c>
      <c r="C18" s="16" t="s">
        <v>18</v>
      </c>
      <c r="D18" s="21">
        <f>B18*1.16</f>
        <v>432.67999999999995</v>
      </c>
      <c r="E18" s="16" t="s">
        <v>13</v>
      </c>
      <c r="F18" s="18">
        <f>D18*0.22</f>
        <v>95.189599999999984</v>
      </c>
      <c r="G18" s="16" t="s">
        <v>19</v>
      </c>
      <c r="H18" s="22">
        <f>F18/1000</f>
        <v>9.5189599999999985E-2</v>
      </c>
      <c r="I18" s="16" t="s">
        <v>20</v>
      </c>
    </row>
    <row r="19" spans="1:9">
      <c r="D19" s="23"/>
      <c r="E19" s="16" t="s">
        <v>24</v>
      </c>
      <c r="F19" s="24">
        <f>SUM(F15:F18)</f>
        <v>842.52260000000001</v>
      </c>
      <c r="G19" s="16" t="s">
        <v>19</v>
      </c>
      <c r="H19" s="25">
        <f>SUM(H15:H18)</f>
        <v>0.8425225999999999</v>
      </c>
      <c r="I19" s="16" t="s">
        <v>20</v>
      </c>
    </row>
    <row r="20" spans="1:9">
      <c r="D20" s="23"/>
      <c r="F20" s="26"/>
      <c r="H20" s="27"/>
    </row>
    <row r="21" spans="1:9">
      <c r="A21" s="28" t="s">
        <v>25</v>
      </c>
      <c r="D21" s="23"/>
      <c r="F21" s="29"/>
      <c r="H21" s="19"/>
    </row>
    <row r="22" spans="1:9">
      <c r="A22" s="16" t="s">
        <v>26</v>
      </c>
      <c r="B22" s="16">
        <f t="shared" ref="B22:B27" si="0">93+2</f>
        <v>95</v>
      </c>
      <c r="C22" s="16" t="s">
        <v>18</v>
      </c>
      <c r="D22" s="23"/>
      <c r="F22" s="29"/>
      <c r="H22" s="19"/>
    </row>
    <row r="23" spans="1:9">
      <c r="A23" s="16" t="s">
        <v>27</v>
      </c>
      <c r="B23" s="16">
        <f t="shared" si="0"/>
        <v>95</v>
      </c>
      <c r="C23" s="16" t="s">
        <v>18</v>
      </c>
      <c r="D23" s="23"/>
      <c r="F23" s="29"/>
      <c r="H23" s="19"/>
    </row>
    <row r="24" spans="1:9">
      <c r="A24" s="16" t="s">
        <v>28</v>
      </c>
      <c r="B24" s="16">
        <f t="shared" si="0"/>
        <v>95</v>
      </c>
      <c r="C24" s="16" t="s">
        <v>18</v>
      </c>
      <c r="D24" s="23"/>
      <c r="F24" s="29"/>
      <c r="H24" s="19"/>
    </row>
    <row r="25" spans="1:9">
      <c r="A25" s="16" t="s">
        <v>29</v>
      </c>
      <c r="B25" s="16">
        <f t="shared" si="0"/>
        <v>95</v>
      </c>
      <c r="C25" s="16" t="s">
        <v>18</v>
      </c>
      <c r="D25" s="23"/>
      <c r="F25" s="29"/>
      <c r="H25" s="19"/>
    </row>
    <row r="26" spans="1:9">
      <c r="A26" s="16" t="s">
        <v>30</v>
      </c>
      <c r="B26" s="16">
        <f t="shared" si="0"/>
        <v>95</v>
      </c>
      <c r="C26" s="16" t="s">
        <v>18</v>
      </c>
      <c r="D26" s="23"/>
      <c r="F26" s="29"/>
      <c r="H26" s="19"/>
    </row>
    <row r="27" spans="1:9">
      <c r="A27" s="16" t="s">
        <v>31</v>
      </c>
      <c r="B27" s="16">
        <f t="shared" si="0"/>
        <v>95</v>
      </c>
      <c r="C27" s="16" t="s">
        <v>18</v>
      </c>
      <c r="D27" s="23"/>
      <c r="F27" s="29"/>
      <c r="H27" s="19"/>
    </row>
    <row r="28" spans="1:9">
      <c r="A28" s="16" t="s">
        <v>32</v>
      </c>
      <c r="B28" s="18">
        <f>0.495*B45+0.25*B45</f>
        <v>11.795833333333331</v>
      </c>
      <c r="C28" s="16" t="s">
        <v>13</v>
      </c>
      <c r="D28" s="23" t="s">
        <v>33</v>
      </c>
      <c r="F28" s="29"/>
      <c r="H28" s="19"/>
    </row>
    <row r="29" spans="1:9">
      <c r="A29" s="16" t="s">
        <v>34</v>
      </c>
      <c r="B29" s="18">
        <f>0.25*B45</f>
        <v>3.9583333333333321</v>
      </c>
      <c r="C29" s="16" t="s">
        <v>13</v>
      </c>
      <c r="D29" s="23" t="s">
        <v>35</v>
      </c>
      <c r="F29" s="29"/>
      <c r="H29" s="19"/>
    </row>
    <row r="30" spans="1:9">
      <c r="A30" s="16" t="s">
        <v>36</v>
      </c>
      <c r="B30" s="18">
        <f>0.495*0.25*B45</f>
        <v>1.9593749999999994</v>
      </c>
      <c r="C30" s="16" t="s">
        <v>14</v>
      </c>
      <c r="D30" s="23" t="s">
        <v>37</v>
      </c>
      <c r="F30" s="29"/>
      <c r="H30" s="19"/>
    </row>
    <row r="31" spans="1:9">
      <c r="A31" s="16" t="s">
        <v>38</v>
      </c>
      <c r="B31" s="18">
        <v>30.4</v>
      </c>
      <c r="C31" s="16" t="s">
        <v>13</v>
      </c>
      <c r="D31" s="23"/>
      <c r="F31" s="29"/>
      <c r="H31" s="19"/>
    </row>
    <row r="32" spans="1:9">
      <c r="A32" s="16" t="s">
        <v>39</v>
      </c>
      <c r="B32" s="18">
        <v>30.4</v>
      </c>
      <c r="C32" s="16" t="s">
        <v>13</v>
      </c>
      <c r="D32" s="23"/>
      <c r="F32" s="29"/>
      <c r="H32" s="19"/>
    </row>
    <row r="33" spans="1:8">
      <c r="A33" s="16" t="s">
        <v>40</v>
      </c>
      <c r="B33" s="18">
        <v>30.4</v>
      </c>
      <c r="C33" s="16" t="s">
        <v>13</v>
      </c>
      <c r="D33" s="23"/>
      <c r="F33" s="29"/>
      <c r="H33" s="19"/>
    </row>
    <row r="34" spans="1:8">
      <c r="A34" s="30" t="s">
        <v>41</v>
      </c>
      <c r="B34" s="31">
        <f>0.4*B11</f>
        <v>37.999999999999993</v>
      </c>
      <c r="C34" s="30" t="s">
        <v>14</v>
      </c>
      <c r="D34" s="23"/>
      <c r="F34" s="29"/>
      <c r="H34" s="19"/>
    </row>
    <row r="35" spans="1:8">
      <c r="A35" s="30" t="s">
        <v>42</v>
      </c>
      <c r="B35" s="31">
        <f>0.39*B11</f>
        <v>37.04999999999999</v>
      </c>
      <c r="C35" s="30" t="s">
        <v>15</v>
      </c>
      <c r="D35" s="23"/>
      <c r="F35" s="29"/>
      <c r="H35" s="19"/>
    </row>
    <row r="36" spans="1:8">
      <c r="A36" s="30" t="s">
        <v>43</v>
      </c>
      <c r="B36" s="31">
        <f>1.85*B11</f>
        <v>175.74999999999994</v>
      </c>
      <c r="C36" s="30" t="s">
        <v>14</v>
      </c>
      <c r="D36" s="23" t="s">
        <v>44</v>
      </c>
      <c r="F36" s="29"/>
      <c r="H36" s="19"/>
    </row>
    <row r="37" spans="1:8">
      <c r="B37" s="29"/>
      <c r="D37" s="23"/>
      <c r="F37" s="29"/>
      <c r="H37" s="19"/>
    </row>
    <row r="38" spans="1:8">
      <c r="A38" s="14" t="s">
        <v>8</v>
      </c>
      <c r="B38" s="14" t="s">
        <v>9</v>
      </c>
      <c r="C38" s="10" t="s">
        <v>45</v>
      </c>
      <c r="D38" s="10"/>
      <c r="F38" s="29"/>
      <c r="H38" s="19"/>
    </row>
    <row r="39" spans="1:8">
      <c r="A39" s="14" t="s">
        <v>12</v>
      </c>
      <c r="B39" s="14" t="s">
        <v>13</v>
      </c>
      <c r="C39" s="14" t="s">
        <v>14</v>
      </c>
      <c r="D39" s="14" t="s">
        <v>15</v>
      </c>
      <c r="F39" s="29"/>
      <c r="H39" s="19"/>
    </row>
    <row r="40" spans="1:8">
      <c r="A40" s="15">
        <v>9.0869999999999997</v>
      </c>
      <c r="B40" s="16"/>
      <c r="C40" s="17">
        <v>0.63</v>
      </c>
      <c r="D40" s="18"/>
      <c r="F40" s="29"/>
      <c r="H40" s="19"/>
    </row>
    <row r="41" spans="1:8">
      <c r="A41" s="16"/>
      <c r="B41" s="16">
        <f>((A42-A40)*1000)+2</f>
        <v>94.999999999999972</v>
      </c>
      <c r="C41" s="18">
        <f>(C40+C42)/2</f>
        <v>0.63</v>
      </c>
      <c r="D41" s="18">
        <f>B41*C41</f>
        <v>59.84999999999998</v>
      </c>
      <c r="F41" s="29"/>
      <c r="H41" s="19"/>
    </row>
    <row r="42" spans="1:8">
      <c r="A42" s="15">
        <v>9.18</v>
      </c>
      <c r="B42" s="16"/>
      <c r="C42" s="17">
        <v>0.63</v>
      </c>
      <c r="D42" s="18"/>
      <c r="F42" s="29"/>
      <c r="H42" s="19"/>
    </row>
    <row r="43" spans="1:8">
      <c r="A43" s="19" t="s">
        <v>16</v>
      </c>
      <c r="C43" s="18"/>
      <c r="D43" s="20">
        <f>SUM(D40:D42)</f>
        <v>59.84999999999998</v>
      </c>
      <c r="E43" t="s">
        <v>46</v>
      </c>
    </row>
    <row r="45" spans="1:8">
      <c r="A45" s="16" t="s">
        <v>47</v>
      </c>
      <c r="B45" s="32">
        <f>B11/6</f>
        <v>15.833333333333329</v>
      </c>
      <c r="C45" s="16" t="s">
        <v>18</v>
      </c>
      <c r="D45" t="s">
        <v>48</v>
      </c>
    </row>
    <row r="46" spans="1:8">
      <c r="A46" s="16" t="s">
        <v>49</v>
      </c>
      <c r="B46" s="32">
        <f>B11/4</f>
        <v>23.749999999999993</v>
      </c>
      <c r="C46" s="16" t="s">
        <v>18</v>
      </c>
      <c r="D46" t="s">
        <v>50</v>
      </c>
      <c r="E46" s="29">
        <f>PI()*0.08*B46</f>
        <v>5.969026041820606</v>
      </c>
      <c r="F46" t="s">
        <v>13</v>
      </c>
    </row>
    <row r="47" spans="1:8" s="33" customFormat="1">
      <c r="A47" s="57"/>
      <c r="B47" s="88"/>
      <c r="C47" s="57"/>
      <c r="E47" s="29"/>
    </row>
    <row r="48" spans="1:8" s="33" customFormat="1">
      <c r="A48" s="57"/>
      <c r="B48" s="88"/>
      <c r="C48" s="57"/>
      <c r="E48" s="29"/>
    </row>
    <row r="50" spans="1:8">
      <c r="A50" s="13" t="s">
        <v>51</v>
      </c>
    </row>
    <row r="51" spans="1:8">
      <c r="A51" s="14" t="s">
        <v>8</v>
      </c>
      <c r="B51" s="14" t="s">
        <v>9</v>
      </c>
      <c r="C51" s="87" t="s">
        <v>108</v>
      </c>
      <c r="D51" s="10"/>
      <c r="E51" s="87" t="s">
        <v>109</v>
      </c>
      <c r="F51" s="10"/>
    </row>
    <row r="52" spans="1:8">
      <c r="A52" s="14" t="s">
        <v>12</v>
      </c>
      <c r="B52" s="14" t="s">
        <v>13</v>
      </c>
      <c r="C52" s="14" t="s">
        <v>14</v>
      </c>
      <c r="D52" s="14" t="s">
        <v>15</v>
      </c>
      <c r="E52" s="14" t="s">
        <v>13</v>
      </c>
      <c r="F52" s="14" t="s">
        <v>14</v>
      </c>
    </row>
    <row r="53" spans="1:8">
      <c r="A53" s="15">
        <v>9.734</v>
      </c>
      <c r="B53" s="16"/>
      <c r="C53" s="17"/>
      <c r="D53" s="18"/>
      <c r="E53" s="17"/>
      <c r="F53" s="18"/>
    </row>
    <row r="54" spans="1:8">
      <c r="A54" s="16"/>
      <c r="B54" s="32">
        <f>((A55-A53)*1000)+2</f>
        <v>31.999999999999361</v>
      </c>
      <c r="C54" s="18"/>
      <c r="D54" s="18">
        <v>17</v>
      </c>
      <c r="E54" s="18"/>
      <c r="F54" s="18"/>
    </row>
    <row r="55" spans="1:8">
      <c r="A55" s="15">
        <v>9.7639999999999993</v>
      </c>
      <c r="B55" s="16"/>
      <c r="C55" s="17"/>
      <c r="D55" s="18"/>
      <c r="E55" s="17"/>
      <c r="F55" s="18"/>
    </row>
    <row r="56" spans="1:8">
      <c r="A56" s="19" t="s">
        <v>16</v>
      </c>
      <c r="C56" s="18"/>
      <c r="D56" s="20">
        <f>SUM(D53:D55)</f>
        <v>17</v>
      </c>
      <c r="E56" s="18"/>
      <c r="F56" s="20">
        <f>SUM(F53:F55)</f>
        <v>0</v>
      </c>
    </row>
    <row r="57" spans="1:8">
      <c r="F57" s="26"/>
      <c r="H57" s="13"/>
    </row>
    <row r="58" spans="1:8">
      <c r="F58" s="26"/>
      <c r="H58" s="13"/>
    </row>
    <row r="59" spans="1:8">
      <c r="F59" s="26"/>
      <c r="H59" s="13"/>
    </row>
    <row r="60" spans="1:8">
      <c r="A60" s="16" t="s">
        <v>110</v>
      </c>
      <c r="B60" s="18">
        <v>3.45</v>
      </c>
      <c r="C60" s="16" t="s">
        <v>14</v>
      </c>
      <c r="D60" s="23"/>
      <c r="F60" s="29"/>
    </row>
    <row r="61" spans="1:8">
      <c r="A61" s="16" t="s">
        <v>38</v>
      </c>
      <c r="B61" s="18">
        <v>12.75</v>
      </c>
      <c r="C61" s="16" t="s">
        <v>13</v>
      </c>
      <c r="D61" s="23"/>
      <c r="F61" s="29"/>
    </row>
    <row r="62" spans="1:8">
      <c r="A62" s="16" t="s">
        <v>39</v>
      </c>
      <c r="B62" s="18">
        <v>12.75</v>
      </c>
      <c r="C62" s="16" t="s">
        <v>13</v>
      </c>
      <c r="D62" s="23"/>
      <c r="F62" s="29"/>
    </row>
    <row r="63" spans="1:8">
      <c r="A63" s="16" t="s">
        <v>40</v>
      </c>
      <c r="B63" s="18">
        <v>12.75</v>
      </c>
      <c r="C63" s="16" t="s">
        <v>13</v>
      </c>
      <c r="D63" s="23"/>
      <c r="F63" s="29"/>
    </row>
    <row r="64" spans="1:8">
      <c r="A64" s="16" t="s">
        <v>111</v>
      </c>
      <c r="B64" s="31">
        <v>67.2</v>
      </c>
      <c r="C64" s="30" t="s">
        <v>14</v>
      </c>
      <c r="D64" s="23" t="s">
        <v>112</v>
      </c>
      <c r="F64" s="29"/>
    </row>
    <row r="65" spans="1:6">
      <c r="A65" s="30" t="s">
        <v>42</v>
      </c>
      <c r="B65" s="31">
        <f>0.69*B54</f>
        <v>22.079999999999558</v>
      </c>
      <c r="C65" s="30" t="s">
        <v>15</v>
      </c>
      <c r="D65" s="23"/>
      <c r="F65" s="29"/>
    </row>
    <row r="66" spans="1:6">
      <c r="A66" s="30" t="s">
        <v>43</v>
      </c>
      <c r="B66" s="31">
        <f>2.09*B54</f>
        <v>66.87999999999866</v>
      </c>
      <c r="C66" s="30" t="s">
        <v>14</v>
      </c>
      <c r="D66" s="23" t="s">
        <v>44</v>
      </c>
      <c r="F66" s="29"/>
    </row>
    <row r="68" spans="1:6">
      <c r="A68" s="14" t="s">
        <v>8</v>
      </c>
      <c r="B68" s="14" t="s">
        <v>9</v>
      </c>
      <c r="C68" s="10" t="s">
        <v>45</v>
      </c>
      <c r="D68" s="10"/>
    </row>
    <row r="69" spans="1:6">
      <c r="A69" s="14" t="s">
        <v>12</v>
      </c>
      <c r="B69" s="14" t="s">
        <v>13</v>
      </c>
      <c r="C69" s="14" t="s">
        <v>14</v>
      </c>
      <c r="D69" s="14" t="s">
        <v>15</v>
      </c>
    </row>
    <row r="70" spans="1:6">
      <c r="A70" s="15">
        <v>9.734</v>
      </c>
      <c r="B70" s="16"/>
      <c r="C70" s="17">
        <v>0.63</v>
      </c>
      <c r="D70" s="18"/>
    </row>
    <row r="71" spans="1:6">
      <c r="A71" s="16"/>
      <c r="B71" s="32">
        <f>((A72-A70)*1000)+2</f>
        <v>31.999999999999361</v>
      </c>
      <c r="C71" s="18">
        <f>(C70+C72)/2</f>
        <v>0.63</v>
      </c>
      <c r="D71" s="18">
        <f>B71*C71</f>
        <v>20.159999999999599</v>
      </c>
    </row>
    <row r="72" spans="1:6">
      <c r="A72" s="15">
        <v>9.7639999999999993</v>
      </c>
      <c r="B72" s="16"/>
      <c r="C72" s="17">
        <v>0.63</v>
      </c>
      <c r="D72" s="18"/>
    </row>
    <row r="73" spans="1:6">
      <c r="A73" s="19" t="s">
        <v>16</v>
      </c>
      <c r="C73" s="18"/>
      <c r="D73" s="20">
        <f>SUM(D70:D72)</f>
        <v>20.159999999999599</v>
      </c>
    </row>
    <row r="74" spans="1:6">
      <c r="C74" t="s">
        <v>46</v>
      </c>
    </row>
    <row r="76" spans="1:6">
      <c r="A76" s="16" t="s">
        <v>47</v>
      </c>
      <c r="B76" s="32">
        <f>B54/6</f>
        <v>5.3333333333332265</v>
      </c>
      <c r="C76" s="16" t="s">
        <v>18</v>
      </c>
      <c r="D76" t="s">
        <v>48</v>
      </c>
    </row>
    <row r="77" spans="1:6">
      <c r="A77" s="16" t="s">
        <v>49</v>
      </c>
      <c r="B77" s="32">
        <v>5</v>
      </c>
      <c r="C77" s="16" t="s">
        <v>18</v>
      </c>
      <c r="D77" t="s">
        <v>50</v>
      </c>
      <c r="E77" s="29">
        <f>PI()*0.08*B77</f>
        <v>1.2566370614359172</v>
      </c>
      <c r="F77" t="s">
        <v>13</v>
      </c>
    </row>
    <row r="80" spans="1:6">
      <c r="A80" s="13" t="s">
        <v>52</v>
      </c>
    </row>
    <row r="81" spans="1:6">
      <c r="A81" s="14" t="s">
        <v>8</v>
      </c>
      <c r="B81" s="14" t="s">
        <v>9</v>
      </c>
      <c r="C81" s="87" t="s">
        <v>108</v>
      </c>
      <c r="D81" s="10"/>
      <c r="E81" s="87" t="s">
        <v>109</v>
      </c>
      <c r="F81" s="10"/>
    </row>
    <row r="82" spans="1:6">
      <c r="A82" s="14" t="s">
        <v>12</v>
      </c>
      <c r="B82" s="14" t="s">
        <v>13</v>
      </c>
      <c r="C82" s="14" t="s">
        <v>14</v>
      </c>
      <c r="D82" s="14" t="s">
        <v>15</v>
      </c>
      <c r="E82" s="14" t="s">
        <v>13</v>
      </c>
      <c r="F82" s="14" t="s">
        <v>14</v>
      </c>
    </row>
    <row r="83" spans="1:6">
      <c r="A83" s="15">
        <v>9.7639999999999993</v>
      </c>
      <c r="B83" s="16"/>
      <c r="C83" s="17"/>
      <c r="D83" s="18"/>
      <c r="E83" s="17"/>
      <c r="F83" s="18"/>
    </row>
    <row r="84" spans="1:6">
      <c r="A84" s="16"/>
      <c r="B84" s="32">
        <f>((A85-A83)*1000)+2</f>
        <v>30.999999999999915</v>
      </c>
      <c r="C84" s="18"/>
      <c r="D84" s="18">
        <v>19</v>
      </c>
      <c r="E84" s="18"/>
      <c r="F84" s="18"/>
    </row>
    <row r="85" spans="1:6">
      <c r="A85" s="15">
        <v>9.7929999999999993</v>
      </c>
      <c r="B85" s="16"/>
      <c r="C85" s="17"/>
      <c r="D85" s="18"/>
      <c r="E85" s="17"/>
      <c r="F85" s="24"/>
    </row>
    <row r="86" spans="1:6">
      <c r="A86" s="19" t="s">
        <v>16</v>
      </c>
      <c r="C86" s="18"/>
      <c r="D86" s="20">
        <f>SUM(D83:D85)</f>
        <v>19</v>
      </c>
      <c r="E86" s="18"/>
      <c r="F86" s="20">
        <f>SUM(F83:F85)</f>
        <v>0</v>
      </c>
    </row>
    <row r="87" spans="1:6" s="33" customFormat="1">
      <c r="A87" s="19"/>
      <c r="C87" s="89"/>
      <c r="D87" s="90"/>
      <c r="E87" s="89"/>
      <c r="F87" s="90"/>
    </row>
    <row r="89" spans="1:6">
      <c r="A89" s="16" t="s">
        <v>110</v>
      </c>
      <c r="B89" s="18">
        <v>3.75</v>
      </c>
      <c r="C89" s="16" t="s">
        <v>14</v>
      </c>
      <c r="D89" s="23"/>
      <c r="F89" s="29"/>
    </row>
    <row r="90" spans="1:6">
      <c r="A90" s="16" t="s">
        <v>38</v>
      </c>
      <c r="B90" s="18">
        <v>13.75</v>
      </c>
      <c r="C90" s="16" t="s">
        <v>13</v>
      </c>
    </row>
    <row r="91" spans="1:6">
      <c r="A91" s="16" t="s">
        <v>39</v>
      </c>
      <c r="B91" s="18">
        <v>13.75</v>
      </c>
      <c r="C91" s="16" t="s">
        <v>13</v>
      </c>
    </row>
    <row r="92" spans="1:6">
      <c r="A92" s="16" t="s">
        <v>40</v>
      </c>
      <c r="B92" s="18">
        <v>13.75</v>
      </c>
      <c r="C92" s="16" t="s">
        <v>13</v>
      </c>
    </row>
    <row r="93" spans="1:6">
      <c r="A93" s="30" t="s">
        <v>41</v>
      </c>
      <c r="B93" s="31">
        <v>71.3</v>
      </c>
      <c r="C93" s="30" t="s">
        <v>14</v>
      </c>
      <c r="D93" s="23" t="s">
        <v>112</v>
      </c>
    </row>
    <row r="94" spans="1:6">
      <c r="A94" s="30" t="s">
        <v>42</v>
      </c>
      <c r="B94" s="31">
        <f>0.54*B84</f>
        <v>16.739999999999956</v>
      </c>
      <c r="C94" s="30" t="s">
        <v>15</v>
      </c>
      <c r="D94" s="33"/>
    </row>
    <row r="95" spans="1:6">
      <c r="A95" s="30" t="s">
        <v>43</v>
      </c>
      <c r="B95" s="31">
        <f>2.85*B84</f>
        <v>88.349999999999753</v>
      </c>
      <c r="C95" s="30" t="s">
        <v>14</v>
      </c>
      <c r="D95" s="23" t="s">
        <v>44</v>
      </c>
    </row>
    <row r="100" spans="1:9">
      <c r="A100" s="14" t="s">
        <v>8</v>
      </c>
      <c r="B100" s="14" t="s">
        <v>9</v>
      </c>
      <c r="C100" s="10" t="s">
        <v>45</v>
      </c>
      <c r="D100" s="10"/>
    </row>
    <row r="101" spans="1:9">
      <c r="A101" s="14" t="s">
        <v>12</v>
      </c>
      <c r="B101" s="14" t="s">
        <v>13</v>
      </c>
      <c r="C101" s="14" t="s">
        <v>14</v>
      </c>
      <c r="D101" s="14" t="s">
        <v>15</v>
      </c>
    </row>
    <row r="102" spans="1:9">
      <c r="A102" s="15">
        <v>9.7639999999999993</v>
      </c>
      <c r="B102" s="16"/>
      <c r="C102" s="17">
        <v>0.63</v>
      </c>
      <c r="D102" s="18"/>
    </row>
    <row r="103" spans="1:9">
      <c r="A103" s="16"/>
      <c r="B103" s="32">
        <f>((A104-A102)*1000)+2</f>
        <v>30.999999999999915</v>
      </c>
      <c r="C103" s="18">
        <f>(C102+C104)/2</f>
        <v>0.63</v>
      </c>
      <c r="D103" s="18">
        <f>B103*C103</f>
        <v>19.529999999999948</v>
      </c>
    </row>
    <row r="104" spans="1:9">
      <c r="A104" s="15">
        <v>9.7929999999999993</v>
      </c>
      <c r="B104" s="16"/>
      <c r="C104" s="17">
        <v>0.63</v>
      </c>
      <c r="D104" s="18"/>
    </row>
    <row r="105" spans="1:9">
      <c r="A105" s="19" t="s">
        <v>16</v>
      </c>
      <c r="C105" s="18"/>
      <c r="D105" s="20">
        <f>SUM(D102:D104)</f>
        <v>19.529999999999948</v>
      </c>
    </row>
    <row r="106" spans="1:9">
      <c r="C106" t="s">
        <v>46</v>
      </c>
    </row>
    <row r="108" spans="1:9">
      <c r="A108" s="16" t="s">
        <v>47</v>
      </c>
      <c r="B108" s="32">
        <f>B84/6</f>
        <v>5.1666666666666528</v>
      </c>
      <c r="C108" s="16" t="s">
        <v>18</v>
      </c>
      <c r="D108" t="s">
        <v>48</v>
      </c>
    </row>
    <row r="109" spans="1:9">
      <c r="A109" s="16" t="s">
        <v>49</v>
      </c>
      <c r="B109" s="32">
        <v>6</v>
      </c>
      <c r="C109" s="16" t="s">
        <v>18</v>
      </c>
      <c r="D109" t="s">
        <v>53</v>
      </c>
      <c r="H109" s="29">
        <f>PI()*0.08*B109</f>
        <v>1.5079644737231008</v>
      </c>
      <c r="I109" t="s">
        <v>13</v>
      </c>
    </row>
    <row r="110" spans="1:9">
      <c r="A110" s="16" t="s">
        <v>54</v>
      </c>
      <c r="B110" s="16">
        <v>10</v>
      </c>
      <c r="C110" s="16" t="s">
        <v>18</v>
      </c>
      <c r="D110" t="s">
        <v>55</v>
      </c>
    </row>
    <row r="111" spans="1:9">
      <c r="A111" s="16"/>
      <c r="B111" s="18">
        <f>PI()*0.25*B110</f>
        <v>7.8539816339744828</v>
      </c>
      <c r="C111" s="16" t="s">
        <v>13</v>
      </c>
    </row>
  </sheetData>
  <mergeCells count="9">
    <mergeCell ref="C68:D68"/>
    <mergeCell ref="C81:D81"/>
    <mergeCell ref="E81:F81"/>
    <mergeCell ref="C100:D100"/>
    <mergeCell ref="C8:D8"/>
    <mergeCell ref="E8:F8"/>
    <mergeCell ref="C38:D38"/>
    <mergeCell ref="C51:D51"/>
    <mergeCell ref="E51:F51"/>
  </mergeCells>
  <pageMargins left="0.78749999999999998" right="0.78749999999999998" top="1.0249999999999999" bottom="1.0249999999999999" header="0.78749999999999998" footer="0.78749999999999998"/>
  <pageSetup paperSize="9" orientation="landscape" useFirstPageNumber="1" horizontalDpi="300" verticalDpi="300" r:id="rId1"/>
  <headerFooter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49"/>
  <sheetViews>
    <sheetView tabSelected="1" topLeftCell="A22" zoomScaleNormal="100" workbookViewId="0">
      <selection activeCell="P96" sqref="P96"/>
    </sheetView>
  </sheetViews>
  <sheetFormatPr defaultRowHeight="12.75"/>
  <cols>
    <col min="1" max="1" width="11.5703125"/>
    <col min="2" max="2" width="9.85546875" customWidth="1"/>
    <col min="3" max="3" width="7.85546875" customWidth="1"/>
    <col min="4" max="4" width="10.140625" customWidth="1"/>
    <col min="5" max="5" width="8.85546875" customWidth="1"/>
    <col min="6" max="6" width="9.7109375" customWidth="1"/>
    <col min="7" max="7" width="9" customWidth="1"/>
    <col min="8" max="8" width="10.42578125" customWidth="1"/>
    <col min="9" max="9" width="7.5703125" customWidth="1"/>
    <col min="10" max="10" width="8.28515625" customWidth="1"/>
    <col min="11" max="11" width="10.42578125" customWidth="1"/>
    <col min="12" max="12" width="10" customWidth="1"/>
    <col min="13" max="13" width="10.140625" customWidth="1"/>
    <col min="14" max="1025" width="11.5703125"/>
  </cols>
  <sheetData>
    <row r="1" spans="1:13">
      <c r="A1" s="12" t="s">
        <v>56</v>
      </c>
    </row>
    <row r="2" spans="1:13">
      <c r="A2" s="13" t="s">
        <v>57</v>
      </c>
    </row>
    <row r="3" spans="1:13">
      <c r="A3" s="9" t="s">
        <v>58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34" t="s">
        <v>59</v>
      </c>
      <c r="B4" s="8" t="s">
        <v>60</v>
      </c>
      <c r="C4" s="8"/>
      <c r="D4" s="8" t="s">
        <v>61</v>
      </c>
      <c r="E4" s="8"/>
      <c r="F4" s="8" t="s">
        <v>62</v>
      </c>
      <c r="G4" s="8"/>
      <c r="H4" s="8" t="s">
        <v>63</v>
      </c>
      <c r="I4" s="8"/>
      <c r="J4" s="8" t="s">
        <v>64</v>
      </c>
      <c r="K4" s="8"/>
      <c r="L4" s="7" t="s">
        <v>65</v>
      </c>
      <c r="M4" s="7"/>
    </row>
    <row r="5" spans="1:13" ht="25.5">
      <c r="A5" s="35" t="s">
        <v>66</v>
      </c>
      <c r="B5" s="36" t="s">
        <v>67</v>
      </c>
      <c r="C5" s="37" t="s">
        <v>68</v>
      </c>
      <c r="D5" s="36" t="s">
        <v>67</v>
      </c>
      <c r="E5" s="37" t="s">
        <v>69</v>
      </c>
      <c r="F5" s="36" t="s">
        <v>67</v>
      </c>
      <c r="G5" s="37" t="s">
        <v>70</v>
      </c>
      <c r="H5" s="36" t="s">
        <v>67</v>
      </c>
      <c r="I5" s="37" t="s">
        <v>71</v>
      </c>
      <c r="J5" s="36" t="s">
        <v>72</v>
      </c>
      <c r="K5" s="37" t="s">
        <v>73</v>
      </c>
      <c r="L5" s="36" t="s">
        <v>72</v>
      </c>
      <c r="M5" s="38" t="s">
        <v>74</v>
      </c>
    </row>
    <row r="6" spans="1:13">
      <c r="A6" s="39">
        <v>9180</v>
      </c>
      <c r="B6" s="40">
        <v>4.21</v>
      </c>
      <c r="C6" s="41"/>
      <c r="D6" s="40">
        <v>0</v>
      </c>
      <c r="E6" s="41"/>
      <c r="F6" s="40">
        <v>1.93</v>
      </c>
      <c r="G6" s="41"/>
      <c r="H6" s="40">
        <v>4.5</v>
      </c>
      <c r="I6" s="41"/>
      <c r="J6" s="40">
        <v>2</v>
      </c>
      <c r="K6" s="41"/>
      <c r="L6" s="40">
        <v>5.0999999999999996</v>
      </c>
      <c r="M6" s="42"/>
    </row>
    <row r="7" spans="1:13">
      <c r="A7" s="43">
        <f>A8-A6</f>
        <v>20</v>
      </c>
      <c r="B7" s="44">
        <f>(B6+B8)/2</f>
        <v>4.21</v>
      </c>
      <c r="C7" s="45">
        <f>A7*B7</f>
        <v>84.2</v>
      </c>
      <c r="D7" s="44">
        <f>(D6+D8)/2</f>
        <v>0</v>
      </c>
      <c r="E7" s="45">
        <f>A7*D7</f>
        <v>0</v>
      </c>
      <c r="F7" s="44">
        <f>(F6+F8)/2</f>
        <v>1.93</v>
      </c>
      <c r="G7" s="45">
        <f>A7*F7</f>
        <v>38.6</v>
      </c>
      <c r="H7" s="44">
        <f>(H6+H8)/2</f>
        <v>4.5</v>
      </c>
      <c r="I7" s="45">
        <f>A7*H7</f>
        <v>90</v>
      </c>
      <c r="J7" s="44">
        <f>(J6+J8)/2</f>
        <v>2</v>
      </c>
      <c r="K7" s="45">
        <f>A7*J7</f>
        <v>40</v>
      </c>
      <c r="L7" s="44">
        <f>(L6+L8)/2</f>
        <v>5.0999999999999996</v>
      </c>
      <c r="M7" s="46">
        <f>A7*L7</f>
        <v>102</v>
      </c>
    </row>
    <row r="8" spans="1:13">
      <c r="A8" s="47">
        <v>9200</v>
      </c>
      <c r="B8" s="48">
        <v>4.21</v>
      </c>
      <c r="C8" s="45"/>
      <c r="D8" s="48">
        <v>0</v>
      </c>
      <c r="E8" s="45"/>
      <c r="F8" s="48">
        <v>1.93</v>
      </c>
      <c r="G8" s="45"/>
      <c r="H8" s="48">
        <v>4.5</v>
      </c>
      <c r="I8" s="45"/>
      <c r="J8" s="48">
        <v>2</v>
      </c>
      <c r="K8" s="45"/>
      <c r="L8" s="48">
        <v>5.0999999999999996</v>
      </c>
      <c r="M8" s="46"/>
    </row>
    <row r="9" spans="1:13">
      <c r="A9" s="43">
        <f>A10-A8</f>
        <v>10</v>
      </c>
      <c r="B9" s="44">
        <f>(B8+B10)/2</f>
        <v>4.21</v>
      </c>
      <c r="C9" s="45">
        <f>A9*B9</f>
        <v>42.1</v>
      </c>
      <c r="D9" s="44">
        <f>(D8+D10)/2</f>
        <v>0</v>
      </c>
      <c r="E9" s="45">
        <f>A9*D9</f>
        <v>0</v>
      </c>
      <c r="F9" s="44">
        <f>(F8+F10)/2</f>
        <v>1.93</v>
      </c>
      <c r="G9" s="45">
        <f>A9*F9</f>
        <v>19.3</v>
      </c>
      <c r="H9" s="44">
        <f>(H8+H10)/2</f>
        <v>4.5</v>
      </c>
      <c r="I9" s="45">
        <f>A9*H9</f>
        <v>45</v>
      </c>
      <c r="J9" s="44">
        <f>(J8+J10)/2</f>
        <v>2</v>
      </c>
      <c r="K9" s="45">
        <f>A9*J9</f>
        <v>20</v>
      </c>
      <c r="L9" s="44">
        <f>(L8+L10)/2</f>
        <v>5.0999999999999996</v>
      </c>
      <c r="M9" s="46">
        <f>A9*L9</f>
        <v>51</v>
      </c>
    </row>
    <row r="10" spans="1:13">
      <c r="A10" s="47">
        <v>9210</v>
      </c>
      <c r="B10" s="48">
        <v>4.21</v>
      </c>
      <c r="C10" s="45"/>
      <c r="D10" s="48">
        <v>0</v>
      </c>
      <c r="E10" s="45"/>
      <c r="F10" s="48">
        <v>1.93</v>
      </c>
      <c r="G10" s="45"/>
      <c r="H10" s="48">
        <v>4.5</v>
      </c>
      <c r="I10" s="45"/>
      <c r="J10" s="48">
        <v>2</v>
      </c>
      <c r="K10" s="45"/>
      <c r="L10" s="48">
        <v>5.0999999999999996</v>
      </c>
      <c r="M10" s="46"/>
    </row>
    <row r="11" spans="1:13">
      <c r="A11" s="49" t="s">
        <v>75</v>
      </c>
      <c r="B11" s="50"/>
      <c r="C11" s="51">
        <f>SUM(C6:C10)</f>
        <v>126.30000000000001</v>
      </c>
      <c r="D11" s="50"/>
      <c r="E11" s="51">
        <f>SUM(E6:E10)</f>
        <v>0</v>
      </c>
      <c r="F11" s="50"/>
      <c r="G11" s="51">
        <f>SUM(G6:G10)</f>
        <v>57.900000000000006</v>
      </c>
      <c r="H11" s="50"/>
      <c r="I11" s="51">
        <f>SUM(I6:I10)</f>
        <v>135</v>
      </c>
      <c r="J11" s="50"/>
      <c r="K11" s="51">
        <f>SUM(K6:K10)</f>
        <v>60</v>
      </c>
      <c r="L11" s="50"/>
      <c r="M11" s="52">
        <f>SUM(M6:M10)</f>
        <v>153</v>
      </c>
    </row>
    <row r="12" spans="1:13">
      <c r="A12" s="53"/>
      <c r="B12" s="54"/>
      <c r="C12" s="54"/>
      <c r="D12" s="54"/>
      <c r="E12" s="54"/>
      <c r="F12" s="54"/>
      <c r="G12" s="54"/>
      <c r="H12" s="54"/>
      <c r="I12" s="55"/>
      <c r="J12" s="55"/>
      <c r="K12" s="55"/>
      <c r="L12" s="55"/>
      <c r="M12" s="56"/>
    </row>
    <row r="13" spans="1:13">
      <c r="A13" s="34" t="s">
        <v>59</v>
      </c>
      <c r="B13" s="8" t="s">
        <v>76</v>
      </c>
      <c r="C13" s="8"/>
      <c r="D13" s="8" t="s">
        <v>77</v>
      </c>
      <c r="E13" s="8"/>
      <c r="F13" s="6"/>
      <c r="G13" s="6"/>
      <c r="H13" s="6"/>
      <c r="I13" s="6"/>
      <c r="J13" s="6"/>
      <c r="K13" s="6"/>
      <c r="L13" s="5"/>
      <c r="M13" s="5"/>
    </row>
    <row r="14" spans="1:13" ht="25.5">
      <c r="A14" s="35" t="s">
        <v>66</v>
      </c>
      <c r="B14" s="36" t="s">
        <v>72</v>
      </c>
      <c r="C14" s="37" t="s">
        <v>78</v>
      </c>
      <c r="D14" s="36" t="s">
        <v>67</v>
      </c>
      <c r="E14" s="37" t="s">
        <v>79</v>
      </c>
      <c r="M14" s="57"/>
    </row>
    <row r="15" spans="1:13">
      <c r="A15" s="39">
        <v>9180</v>
      </c>
      <c r="B15" s="40">
        <v>4.3899999999999997</v>
      </c>
      <c r="C15" s="41"/>
      <c r="D15" s="40">
        <v>0</v>
      </c>
      <c r="E15" s="41"/>
      <c r="M15" s="57"/>
    </row>
    <row r="16" spans="1:13">
      <c r="A16" s="43">
        <f>A17-A15</f>
        <v>20</v>
      </c>
      <c r="B16" s="44">
        <f>(B15+B17)/2</f>
        <v>4.3899999999999997</v>
      </c>
      <c r="C16" s="45">
        <f>A16*B16</f>
        <v>87.8</v>
      </c>
      <c r="D16" s="44">
        <f>(D15+D17)/2</f>
        <v>0</v>
      </c>
      <c r="E16" s="45">
        <f>A16*D16</f>
        <v>0</v>
      </c>
      <c r="M16" s="57"/>
    </row>
    <row r="17" spans="1:13">
      <c r="A17" s="47">
        <v>9200</v>
      </c>
      <c r="B17" s="48">
        <v>4.3899999999999997</v>
      </c>
      <c r="C17" s="45"/>
      <c r="D17" s="48">
        <v>0</v>
      </c>
      <c r="E17" s="45"/>
      <c r="M17" s="57"/>
    </row>
    <row r="18" spans="1:13">
      <c r="A18" s="43">
        <f>A19-A17</f>
        <v>10</v>
      </c>
      <c r="B18" s="44">
        <f>(B17+B19)/2</f>
        <v>4.3899999999999997</v>
      </c>
      <c r="C18" s="45">
        <f>A18*B18</f>
        <v>43.9</v>
      </c>
      <c r="D18" s="44">
        <f>(D17+D19)/2</f>
        <v>0</v>
      </c>
      <c r="E18" s="45">
        <f>A18*D18</f>
        <v>0</v>
      </c>
      <c r="M18" s="57"/>
    </row>
    <row r="19" spans="1:13">
      <c r="A19" s="47">
        <v>9210</v>
      </c>
      <c r="B19" s="48">
        <v>4.3899999999999997</v>
      </c>
      <c r="C19" s="45"/>
      <c r="D19" s="48">
        <v>0</v>
      </c>
      <c r="E19" s="45"/>
      <c r="M19" s="57"/>
    </row>
    <row r="20" spans="1:13">
      <c r="A20" s="58" t="s">
        <v>75</v>
      </c>
      <c r="B20" s="59"/>
      <c r="C20" s="60">
        <f>SUM(C15:C19)</f>
        <v>131.69999999999999</v>
      </c>
      <c r="D20" s="59"/>
      <c r="E20" s="61">
        <f>SUM(E15:E19)</f>
        <v>0</v>
      </c>
      <c r="F20" s="57"/>
      <c r="G20" s="57"/>
      <c r="H20" s="57"/>
      <c r="I20" s="57"/>
      <c r="J20" s="57"/>
      <c r="K20" s="57"/>
      <c r="L20" s="57"/>
      <c r="M20" s="57"/>
    </row>
    <row r="32" spans="1:13">
      <c r="A32" s="62" t="s">
        <v>80</v>
      </c>
      <c r="B32" s="33"/>
      <c r="C32" s="33"/>
      <c r="D32" s="33"/>
      <c r="E32" s="33"/>
      <c r="F32" s="33"/>
      <c r="G32" s="33"/>
      <c r="H32" s="33"/>
      <c r="I32" s="33"/>
    </row>
    <row r="33" spans="1:13">
      <c r="A33" s="63" t="s">
        <v>81</v>
      </c>
      <c r="B33" s="64"/>
      <c r="C33" s="64"/>
      <c r="D33" s="64"/>
      <c r="E33" s="64"/>
      <c r="F33" s="64"/>
      <c r="G33" s="64"/>
      <c r="H33" s="65"/>
      <c r="I33" s="66"/>
      <c r="J33" s="66"/>
      <c r="K33" s="66"/>
      <c r="L33" s="66"/>
      <c r="M33" s="66"/>
    </row>
    <row r="34" spans="1:13">
      <c r="A34" s="34" t="s">
        <v>59</v>
      </c>
      <c r="B34" s="8" t="s">
        <v>82</v>
      </c>
      <c r="C34" s="8"/>
      <c r="D34" s="8" t="s">
        <v>83</v>
      </c>
      <c r="E34" s="8"/>
      <c r="F34" s="8" t="s">
        <v>84</v>
      </c>
      <c r="G34" s="8"/>
      <c r="H34" s="4"/>
      <c r="I34" s="4"/>
      <c r="J34" s="4"/>
      <c r="K34" s="4"/>
      <c r="L34" s="4"/>
      <c r="M34" s="4"/>
    </row>
    <row r="35" spans="1:13" ht="25.5">
      <c r="A35" s="35" t="s">
        <v>66</v>
      </c>
      <c r="B35" s="36" t="s">
        <v>72</v>
      </c>
      <c r="C35" s="37" t="s">
        <v>85</v>
      </c>
      <c r="D35" s="36" t="s">
        <v>67</v>
      </c>
      <c r="E35" s="37" t="s">
        <v>86</v>
      </c>
      <c r="F35" s="36" t="s">
        <v>72</v>
      </c>
      <c r="G35" s="37" t="s">
        <v>87</v>
      </c>
      <c r="H35" s="67"/>
      <c r="I35" s="67"/>
      <c r="J35" s="67"/>
      <c r="K35" s="67"/>
      <c r="L35" s="67"/>
      <c r="M35" s="67"/>
    </row>
    <row r="36" spans="1:13">
      <c r="A36" s="39">
        <v>7812</v>
      </c>
      <c r="B36" s="40">
        <v>5.57</v>
      </c>
      <c r="C36" s="41"/>
      <c r="D36" s="40">
        <v>3.39</v>
      </c>
      <c r="E36" s="41"/>
      <c r="F36" s="40">
        <f>B36</f>
        <v>5.57</v>
      </c>
      <c r="G36" s="41"/>
      <c r="H36" s="68"/>
      <c r="I36" s="69"/>
      <c r="J36" s="68"/>
      <c r="K36" s="69"/>
      <c r="L36" s="68"/>
      <c r="M36" s="69"/>
    </row>
    <row r="37" spans="1:13">
      <c r="A37" s="43">
        <f>A38-A36</f>
        <v>8</v>
      </c>
      <c r="B37" s="44">
        <f>(B36+B38)/2</f>
        <v>5.57</v>
      </c>
      <c r="C37" s="45">
        <f>A37*B37</f>
        <v>44.56</v>
      </c>
      <c r="D37" s="44">
        <f>(D36+D38)/2</f>
        <v>3.39</v>
      </c>
      <c r="E37" s="45">
        <f>A37*D37</f>
        <v>27.12</v>
      </c>
      <c r="F37" s="44">
        <f>(F36+F38)/2</f>
        <v>5.57</v>
      </c>
      <c r="G37" s="45">
        <f>A37*F37</f>
        <v>44.56</v>
      </c>
      <c r="H37" s="69"/>
      <c r="I37" s="69"/>
      <c r="J37" s="69"/>
      <c r="K37" s="69"/>
      <c r="L37" s="69"/>
      <c r="M37" s="69"/>
    </row>
    <row r="38" spans="1:13">
      <c r="A38" s="47">
        <v>7820</v>
      </c>
      <c r="B38" s="48">
        <v>5.57</v>
      </c>
      <c r="C38" s="45"/>
      <c r="D38" s="48">
        <v>3.39</v>
      </c>
      <c r="E38" s="45"/>
      <c r="F38" s="48">
        <f>B38</f>
        <v>5.57</v>
      </c>
      <c r="G38" s="45"/>
      <c r="H38" s="68"/>
      <c r="I38" s="69"/>
      <c r="J38" s="68"/>
      <c r="K38" s="69"/>
      <c r="L38" s="68"/>
      <c r="M38" s="69"/>
    </row>
    <row r="39" spans="1:13">
      <c r="A39" s="43">
        <f>A40-A38</f>
        <v>20</v>
      </c>
      <c r="B39" s="44">
        <f>(B38+B40)/2</f>
        <v>5.665</v>
      </c>
      <c r="C39" s="45">
        <f>A39*B39</f>
        <v>113.3</v>
      </c>
      <c r="D39" s="44">
        <f>(D38+D40)/2</f>
        <v>3.0449999999999999</v>
      </c>
      <c r="E39" s="45">
        <f>A39*D39</f>
        <v>60.9</v>
      </c>
      <c r="F39" s="44">
        <f>(F38+F40)/2</f>
        <v>5.665</v>
      </c>
      <c r="G39" s="45">
        <f>A39*F39</f>
        <v>113.3</v>
      </c>
      <c r="H39" s="69"/>
      <c r="I39" s="69"/>
      <c r="J39" s="69"/>
      <c r="K39" s="69"/>
      <c r="L39" s="69"/>
      <c r="M39" s="69"/>
    </row>
    <row r="40" spans="1:13">
      <c r="A40" s="47">
        <v>7840</v>
      </c>
      <c r="B40" s="48">
        <v>5.76</v>
      </c>
      <c r="C40" s="45"/>
      <c r="D40" s="48">
        <v>2.7</v>
      </c>
      <c r="E40" s="45"/>
      <c r="F40" s="48">
        <f>B40</f>
        <v>5.76</v>
      </c>
      <c r="G40" s="45"/>
      <c r="H40" s="68"/>
      <c r="I40" s="69"/>
      <c r="J40" s="68"/>
      <c r="K40" s="69"/>
      <c r="L40" s="68"/>
      <c r="M40" s="69"/>
    </row>
    <row r="41" spans="1:13">
      <c r="A41" s="43">
        <f>A42-A40</f>
        <v>20</v>
      </c>
      <c r="B41" s="44">
        <f>(B40+B42)/2</f>
        <v>5.59</v>
      </c>
      <c r="C41" s="45">
        <f>A41*B41</f>
        <v>111.8</v>
      </c>
      <c r="D41" s="44">
        <f>(D40+D42)/2</f>
        <v>2.3149999999999999</v>
      </c>
      <c r="E41" s="45">
        <f>A41*D41</f>
        <v>46.3</v>
      </c>
      <c r="F41" s="44">
        <f>(F40+F42)/2</f>
        <v>5.59</v>
      </c>
      <c r="G41" s="45">
        <f>A41*F41</f>
        <v>111.8</v>
      </c>
      <c r="H41" s="68"/>
      <c r="I41" s="69"/>
      <c r="J41" s="68"/>
      <c r="K41" s="69"/>
      <c r="L41" s="68"/>
      <c r="M41" s="69"/>
    </row>
    <row r="42" spans="1:13">
      <c r="A42" s="47">
        <v>7860</v>
      </c>
      <c r="B42" s="48">
        <v>5.42</v>
      </c>
      <c r="C42" s="45"/>
      <c r="D42" s="48">
        <v>1.93</v>
      </c>
      <c r="E42" s="45"/>
      <c r="F42" s="48">
        <f>B42</f>
        <v>5.42</v>
      </c>
      <c r="G42" s="45"/>
      <c r="H42" s="68"/>
      <c r="I42" s="69"/>
      <c r="J42" s="68"/>
      <c r="K42" s="69"/>
      <c r="L42" s="68"/>
      <c r="M42" s="69"/>
    </row>
    <row r="43" spans="1:13">
      <c r="A43" s="43">
        <f>A44-A42</f>
        <v>20</v>
      </c>
      <c r="B43" s="44">
        <f>(B42+B44)/2</f>
        <v>5.48</v>
      </c>
      <c r="C43" s="45">
        <f>A43*B43</f>
        <v>109.60000000000001</v>
      </c>
      <c r="D43" s="44">
        <f>(D42+D44)/2</f>
        <v>2.1800000000000002</v>
      </c>
      <c r="E43" s="45">
        <f>A43*D43</f>
        <v>43.6</v>
      </c>
      <c r="F43" s="44">
        <f>(F42+F44)/2</f>
        <v>5.48</v>
      </c>
      <c r="G43" s="45">
        <f>A43*F43</f>
        <v>109.60000000000001</v>
      </c>
      <c r="H43" s="68"/>
      <c r="I43" s="69"/>
      <c r="J43" s="68"/>
      <c r="K43" s="69"/>
      <c r="L43" s="68"/>
      <c r="M43" s="69"/>
    </row>
    <row r="44" spans="1:13">
      <c r="A44" s="47">
        <v>7880</v>
      </c>
      <c r="B44" s="48">
        <v>5.54</v>
      </c>
      <c r="C44" s="45"/>
      <c r="D44" s="48">
        <v>2.4300000000000002</v>
      </c>
      <c r="E44" s="45"/>
      <c r="F44" s="48">
        <f>B44</f>
        <v>5.54</v>
      </c>
      <c r="G44" s="45"/>
      <c r="H44" s="68"/>
      <c r="I44" s="69"/>
      <c r="J44" s="68"/>
      <c r="K44" s="69"/>
      <c r="L44" s="68"/>
      <c r="M44" s="69"/>
    </row>
    <row r="45" spans="1:13">
      <c r="A45" s="43">
        <f>A46-A44</f>
        <v>20</v>
      </c>
      <c r="B45" s="44">
        <f>(B44+B46)/2</f>
        <v>5.915</v>
      </c>
      <c r="C45" s="45">
        <f>A45*B45</f>
        <v>118.3</v>
      </c>
      <c r="D45" s="44">
        <f>(D44+D46)/2</f>
        <v>2.665</v>
      </c>
      <c r="E45" s="45">
        <f>A45*D45</f>
        <v>53.3</v>
      </c>
      <c r="F45" s="44">
        <f>(F44+F46)/2</f>
        <v>5.915</v>
      </c>
      <c r="G45" s="45">
        <f>A45*F45</f>
        <v>118.3</v>
      </c>
      <c r="H45" s="68"/>
      <c r="I45" s="69"/>
      <c r="J45" s="68"/>
      <c r="K45" s="69"/>
      <c r="L45" s="68"/>
      <c r="M45" s="69"/>
    </row>
    <row r="46" spans="1:13">
      <c r="A46" s="47">
        <v>7900</v>
      </c>
      <c r="B46" s="48">
        <v>6.29</v>
      </c>
      <c r="C46" s="45"/>
      <c r="D46" s="48">
        <v>2.9</v>
      </c>
      <c r="E46" s="45"/>
      <c r="F46" s="48">
        <f>B46</f>
        <v>6.29</v>
      </c>
      <c r="G46" s="45"/>
      <c r="H46" s="68"/>
      <c r="I46" s="69"/>
      <c r="J46" s="68"/>
      <c r="K46" s="69"/>
      <c r="L46" s="68"/>
      <c r="M46" s="69"/>
    </row>
    <row r="47" spans="1:13">
      <c r="A47" s="43">
        <f>A48-A46</f>
        <v>12</v>
      </c>
      <c r="B47" s="44">
        <f>(B46+B48)/2</f>
        <v>6.29</v>
      </c>
      <c r="C47" s="45">
        <f>A47*B47</f>
        <v>75.48</v>
      </c>
      <c r="D47" s="44">
        <f>(D46+D48)/2</f>
        <v>2.9</v>
      </c>
      <c r="E47" s="45">
        <f>A47*D47</f>
        <v>34.799999999999997</v>
      </c>
      <c r="F47" s="44">
        <f>(F46+F48)/2</f>
        <v>6.29</v>
      </c>
      <c r="G47" s="45">
        <f>A47*F47</f>
        <v>75.48</v>
      </c>
      <c r="H47" s="68"/>
      <c r="I47" s="69"/>
      <c r="J47" s="68"/>
      <c r="K47" s="69"/>
      <c r="L47" s="68"/>
      <c r="M47" s="69"/>
    </row>
    <row r="48" spans="1:13">
      <c r="A48" s="47">
        <v>7912</v>
      </c>
      <c r="B48" s="48">
        <v>6.29</v>
      </c>
      <c r="C48" s="45"/>
      <c r="D48" s="48">
        <v>2.9</v>
      </c>
      <c r="E48" s="45"/>
      <c r="F48" s="48">
        <f>B48</f>
        <v>6.29</v>
      </c>
      <c r="G48" s="45"/>
      <c r="H48" s="68"/>
      <c r="I48" s="69"/>
      <c r="J48" s="68"/>
      <c r="K48" s="69"/>
      <c r="L48" s="68"/>
      <c r="M48" s="69"/>
    </row>
    <row r="49" spans="1:13">
      <c r="A49" s="49" t="s">
        <v>75</v>
      </c>
      <c r="B49" s="50"/>
      <c r="C49" s="70">
        <f>SUM(C36:C48)</f>
        <v>573.04000000000008</v>
      </c>
      <c r="D49" s="50"/>
      <c r="E49" s="70">
        <f>SUM(E36:E48)</f>
        <v>266.02</v>
      </c>
      <c r="F49" s="50"/>
      <c r="G49" s="70">
        <f>SUM(G36:G48)</f>
        <v>573.04000000000008</v>
      </c>
      <c r="H49" s="71"/>
      <c r="I49" s="72"/>
      <c r="J49" s="71"/>
      <c r="K49" s="72"/>
      <c r="L49" s="71"/>
      <c r="M49" s="72"/>
    </row>
  </sheetData>
  <mergeCells count="19">
    <mergeCell ref="L13:M13"/>
    <mergeCell ref="B34:C34"/>
    <mergeCell ref="D34:E34"/>
    <mergeCell ref="F34:G34"/>
    <mergeCell ref="H34:I34"/>
    <mergeCell ref="J34:K34"/>
    <mergeCell ref="L34:M34"/>
    <mergeCell ref="B13:C13"/>
    <mergeCell ref="D13:E13"/>
    <mergeCell ref="F13:G13"/>
    <mergeCell ref="H13:I13"/>
    <mergeCell ref="J13:K13"/>
    <mergeCell ref="A3:M3"/>
    <mergeCell ref="B4:C4"/>
    <mergeCell ref="D4:E4"/>
    <mergeCell ref="F4:G4"/>
    <mergeCell ref="H4:I4"/>
    <mergeCell ref="J4:K4"/>
    <mergeCell ref="L4:M4"/>
  </mergeCells>
  <pageMargins left="0.78749999999999998" right="0.78749999999999998" top="1.0249999999999999" bottom="1.0249999999999999" header="0.78749999999999998" footer="0.78749999999999998"/>
  <pageSetup paperSize="9" orientation="landscape" r:id="rId1"/>
  <headerFooter>
    <oddHeader>&amp;C&amp;A</oddHeader>
    <oddFooter>&amp;CStránka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MJ10"/>
  <sheetViews>
    <sheetView tabSelected="1" zoomScaleNormal="100" workbookViewId="0">
      <selection activeCell="P96" sqref="P96"/>
    </sheetView>
  </sheetViews>
  <sheetFormatPr defaultRowHeight="12.75"/>
  <cols>
    <col min="1" max="1" width="5.28515625" customWidth="1"/>
    <col min="2" max="1025" width="11.5703125"/>
  </cols>
  <sheetData>
    <row r="1" spans="1:1024">
      <c r="A1" s="73"/>
      <c r="B1" s="3" t="s">
        <v>88</v>
      </c>
      <c r="C1" s="3"/>
      <c r="D1" s="3"/>
      <c r="E1" s="3"/>
      <c r="F1" s="3"/>
      <c r="G1" s="3"/>
      <c r="H1" s="3"/>
      <c r="I1" s="3"/>
      <c r="J1" s="3"/>
    </row>
    <row r="2" spans="1:1024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24">
      <c r="A3" s="73"/>
      <c r="B3" s="2" t="s">
        <v>89</v>
      </c>
      <c r="C3" s="2"/>
      <c r="D3" s="2"/>
      <c r="E3" s="2"/>
      <c r="F3" s="2"/>
      <c r="G3" s="2"/>
      <c r="H3" s="2"/>
      <c r="I3" s="2"/>
      <c r="J3" s="2"/>
    </row>
    <row r="4" spans="1:1024" ht="136.5">
      <c r="A4" s="73"/>
      <c r="B4" s="34" t="s">
        <v>59</v>
      </c>
      <c r="C4" s="74" t="s">
        <v>90</v>
      </c>
      <c r="D4" s="74" t="s">
        <v>91</v>
      </c>
      <c r="E4" s="74" t="s">
        <v>92</v>
      </c>
      <c r="F4" s="74" t="s">
        <v>93</v>
      </c>
      <c r="G4" s="74" t="s">
        <v>94</v>
      </c>
      <c r="H4" s="74" t="s">
        <v>95</v>
      </c>
      <c r="I4" s="74" t="s">
        <v>96</v>
      </c>
      <c r="J4" s="74" t="s">
        <v>97</v>
      </c>
    </row>
    <row r="5" spans="1:1024" s="33" customFormat="1">
      <c r="A5" s="75"/>
      <c r="B5" s="76">
        <v>9.0340000000000007</v>
      </c>
      <c r="C5" s="77">
        <v>16</v>
      </c>
      <c r="D5" s="77">
        <f>(H5*1)/2</f>
        <v>42</v>
      </c>
      <c r="E5" s="77">
        <f>D5</f>
        <v>42</v>
      </c>
      <c r="F5" s="77"/>
      <c r="G5" s="78">
        <f>H5*1.26</f>
        <v>105.84</v>
      </c>
      <c r="H5" s="77">
        <v>84</v>
      </c>
      <c r="I5" s="77">
        <v>84</v>
      </c>
      <c r="J5" s="77">
        <f>10*2</f>
        <v>20</v>
      </c>
      <c r="AMA5"/>
      <c r="AMB5"/>
      <c r="AMC5"/>
      <c r="AMD5"/>
      <c r="AME5"/>
      <c r="AMF5"/>
      <c r="AMG5"/>
      <c r="AMH5"/>
      <c r="AMI5"/>
      <c r="AMJ5"/>
    </row>
    <row r="6" spans="1:1024" s="33" customFormat="1">
      <c r="A6" s="75"/>
      <c r="B6" s="76">
        <v>9.1940000000000008</v>
      </c>
      <c r="C6" s="77">
        <v>18</v>
      </c>
      <c r="D6" s="77">
        <f>(H6*1)/2</f>
        <v>48</v>
      </c>
      <c r="E6" s="77">
        <f>D6</f>
        <v>48</v>
      </c>
      <c r="F6" s="77"/>
      <c r="G6" s="78">
        <f>H6*1.26</f>
        <v>120.96000000000001</v>
      </c>
      <c r="H6" s="77">
        <v>96</v>
      </c>
      <c r="I6" s="77">
        <f>H6</f>
        <v>96</v>
      </c>
      <c r="J6" s="77">
        <f>10*2</f>
        <v>20</v>
      </c>
    </row>
    <row r="7" spans="1:1024" s="33" customFormat="1">
      <c r="A7" s="75"/>
      <c r="B7" s="76">
        <v>9.4329999999999998</v>
      </c>
      <c r="C7" s="77">
        <v>18</v>
      </c>
      <c r="D7" s="77">
        <f>(H7*1)/2</f>
        <v>48</v>
      </c>
      <c r="E7" s="77">
        <f>D7</f>
        <v>48</v>
      </c>
      <c r="F7" s="77"/>
      <c r="G7" s="78">
        <f>H7*1.26</f>
        <v>120.96000000000001</v>
      </c>
      <c r="H7" s="77">
        <v>96</v>
      </c>
      <c r="I7" s="77">
        <v>96</v>
      </c>
      <c r="J7" s="77">
        <f>10*2</f>
        <v>20</v>
      </c>
      <c r="AMA7"/>
      <c r="AMB7"/>
      <c r="AMC7"/>
      <c r="AMD7"/>
      <c r="AME7"/>
      <c r="AMF7"/>
      <c r="AMG7"/>
      <c r="AMH7"/>
      <c r="AMI7"/>
      <c r="AMJ7"/>
    </row>
    <row r="8" spans="1:1024" s="33" customFormat="1">
      <c r="A8" s="75"/>
      <c r="B8" s="76">
        <v>9.5269999999999992</v>
      </c>
      <c r="C8" s="77">
        <v>19</v>
      </c>
      <c r="D8" s="77">
        <f>(H8*1)/2</f>
        <v>50.5</v>
      </c>
      <c r="E8" s="77">
        <f>D8</f>
        <v>50.5</v>
      </c>
      <c r="F8" s="77"/>
      <c r="G8" s="78">
        <f>H8*1.26</f>
        <v>127.26</v>
      </c>
      <c r="H8" s="77">
        <v>101</v>
      </c>
      <c r="I8" s="77">
        <v>101</v>
      </c>
      <c r="J8" s="77">
        <f>10*2</f>
        <v>20</v>
      </c>
      <c r="AMA8"/>
      <c r="AMB8"/>
      <c r="AMC8"/>
      <c r="AMD8"/>
      <c r="AME8"/>
      <c r="AMF8"/>
      <c r="AMG8"/>
      <c r="AMH8"/>
      <c r="AMI8"/>
      <c r="AMJ8"/>
    </row>
    <row r="9" spans="1:1024" s="33" customFormat="1">
      <c r="A9" s="75"/>
      <c r="B9" s="76">
        <v>9.6430000000000007</v>
      </c>
      <c r="C9" s="77">
        <v>19</v>
      </c>
      <c r="D9" s="77">
        <f>(H9*1)/2</f>
        <v>50.5</v>
      </c>
      <c r="E9" s="77">
        <f>D9</f>
        <v>50.5</v>
      </c>
      <c r="F9" s="77"/>
      <c r="G9" s="78">
        <f>H9*1.26</f>
        <v>127.26</v>
      </c>
      <c r="H9" s="77">
        <v>101</v>
      </c>
      <c r="I9" s="77">
        <v>101</v>
      </c>
      <c r="J9" s="77">
        <f>10*2</f>
        <v>20</v>
      </c>
      <c r="AMA9"/>
      <c r="AMB9"/>
      <c r="AMC9"/>
      <c r="AMD9"/>
      <c r="AME9"/>
      <c r="AMF9"/>
      <c r="AMG9"/>
      <c r="AMH9"/>
      <c r="AMI9"/>
      <c r="AMJ9"/>
    </row>
    <row r="10" spans="1:1024">
      <c r="A10" s="73"/>
      <c r="B10" s="49" t="s">
        <v>75</v>
      </c>
      <c r="C10" s="79"/>
      <c r="D10" s="80">
        <f t="shared" ref="D10:J10" si="0">SUM(D5:D9)</f>
        <v>239</v>
      </c>
      <c r="E10" s="80">
        <f t="shared" si="0"/>
        <v>239</v>
      </c>
      <c r="F10" s="80">
        <f t="shared" si="0"/>
        <v>0</v>
      </c>
      <c r="G10" s="81">
        <f t="shared" si="0"/>
        <v>602.28</v>
      </c>
      <c r="H10" s="80">
        <f t="shared" si="0"/>
        <v>478</v>
      </c>
      <c r="I10" s="80">
        <f t="shared" si="0"/>
        <v>478</v>
      </c>
      <c r="J10" s="80">
        <f t="shared" si="0"/>
        <v>100</v>
      </c>
    </row>
  </sheetData>
  <mergeCells count="2">
    <mergeCell ref="B1:J1"/>
    <mergeCell ref="B3:J3"/>
  </mergeCells>
  <pageMargins left="0.78749999999999998" right="0.78749999999999998" top="1.0249999999999999" bottom="1.0249999999999999" header="0.78749999999999998" footer="0.78749999999999998"/>
  <pageSetup paperSize="9" orientation="landscape" r:id="rId1"/>
  <headerFooter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R57"/>
  <sheetViews>
    <sheetView tabSelected="1" zoomScaleNormal="100" workbookViewId="0">
      <selection activeCell="P96" sqref="P96"/>
    </sheetView>
  </sheetViews>
  <sheetFormatPr defaultRowHeight="12.75"/>
  <cols>
    <col min="1" max="1025" width="11.5703125"/>
  </cols>
  <sheetData>
    <row r="1" spans="1:18" ht="17.25">
      <c r="A1" s="73"/>
      <c r="B1" s="1" t="s">
        <v>98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73"/>
      <c r="B2" s="73"/>
      <c r="C2" s="73"/>
      <c r="D2" s="73"/>
      <c r="E2" s="73"/>
      <c r="F2" s="73"/>
      <c r="G2" s="73"/>
      <c r="H2" s="73"/>
      <c r="I2" s="73"/>
      <c r="J2" s="73"/>
      <c r="K2" s="75"/>
      <c r="L2" s="75"/>
      <c r="M2" s="75"/>
      <c r="N2" s="75"/>
      <c r="O2" s="75"/>
      <c r="P2" s="75"/>
      <c r="Q2" s="75"/>
      <c r="R2" s="75"/>
    </row>
    <row r="3" spans="1:18">
      <c r="A3" s="73"/>
      <c r="B3" s="2" t="s">
        <v>99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8.25">
      <c r="A4" s="73"/>
      <c r="B4" s="34" t="s">
        <v>59</v>
      </c>
      <c r="C4" s="74" t="s">
        <v>90</v>
      </c>
      <c r="D4" s="74" t="s">
        <v>91</v>
      </c>
      <c r="E4" s="74" t="s">
        <v>92</v>
      </c>
      <c r="F4" s="74" t="s">
        <v>93</v>
      </c>
      <c r="G4" s="74" t="s">
        <v>94</v>
      </c>
      <c r="H4" s="74" t="s">
        <v>95</v>
      </c>
      <c r="I4" s="74" t="s">
        <v>96</v>
      </c>
      <c r="J4" s="74" t="s">
        <v>97</v>
      </c>
      <c r="K4" s="74" t="s">
        <v>100</v>
      </c>
      <c r="L4" s="74" t="s">
        <v>101</v>
      </c>
      <c r="M4" s="74" t="s">
        <v>102</v>
      </c>
      <c r="N4" s="74" t="s">
        <v>103</v>
      </c>
      <c r="O4" s="74" t="s">
        <v>104</v>
      </c>
      <c r="P4" s="74" t="s">
        <v>105</v>
      </c>
      <c r="Q4" s="74" t="s">
        <v>106</v>
      </c>
      <c r="R4" s="74" t="s">
        <v>107</v>
      </c>
    </row>
    <row r="5" spans="1:18">
      <c r="A5" s="73"/>
      <c r="B5" s="82">
        <v>6.2690000000000001</v>
      </c>
      <c r="C5" s="83">
        <v>17</v>
      </c>
      <c r="D5" s="83">
        <f t="shared" ref="D5:D36" si="0">(H5*1)/2</f>
        <v>42.25</v>
      </c>
      <c r="E5" s="83">
        <f t="shared" ref="E5:E36" si="1">D5</f>
        <v>42.25</v>
      </c>
      <c r="F5" s="83"/>
      <c r="G5" s="84">
        <f t="shared" ref="G5:G36" si="2">H5*1.26</f>
        <v>106.47</v>
      </c>
      <c r="H5" s="83">
        <v>84.5</v>
      </c>
      <c r="I5" s="83">
        <v>84.5</v>
      </c>
      <c r="J5" s="83">
        <f t="shared" ref="J5:J36" si="3">10*2</f>
        <v>20</v>
      </c>
      <c r="K5" s="77"/>
      <c r="L5" s="77"/>
      <c r="M5" s="77"/>
      <c r="N5" s="77"/>
      <c r="O5" s="77"/>
      <c r="P5" s="77"/>
      <c r="Q5" s="77"/>
      <c r="R5" s="77"/>
    </row>
    <row r="6" spans="1:18">
      <c r="A6" s="73"/>
      <c r="B6" s="85">
        <v>6.4450000000000003</v>
      </c>
      <c r="C6" s="83">
        <v>16</v>
      </c>
      <c r="D6" s="83">
        <f t="shared" si="0"/>
        <v>44.25</v>
      </c>
      <c r="E6" s="83">
        <f t="shared" si="1"/>
        <v>44.25</v>
      </c>
      <c r="F6" s="77"/>
      <c r="G6" s="84">
        <f t="shared" si="2"/>
        <v>111.51</v>
      </c>
      <c r="H6" s="83">
        <v>88.5</v>
      </c>
      <c r="I6" s="83">
        <v>88.5</v>
      </c>
      <c r="J6" s="83">
        <f t="shared" si="3"/>
        <v>20</v>
      </c>
      <c r="K6" s="77">
        <f>1.3*8</f>
        <v>10.4</v>
      </c>
      <c r="L6" s="77">
        <v>10.4</v>
      </c>
      <c r="M6" s="77">
        <f>1.5*3*0.5</f>
        <v>2.25</v>
      </c>
      <c r="N6" s="77"/>
      <c r="O6" s="77"/>
      <c r="P6" s="77"/>
      <c r="Q6" s="77"/>
      <c r="R6" s="77"/>
    </row>
    <row r="7" spans="1:18">
      <c r="A7" s="73"/>
      <c r="B7" s="85">
        <v>6.48</v>
      </c>
      <c r="C7" s="83">
        <v>17</v>
      </c>
      <c r="D7" s="83">
        <f t="shared" si="0"/>
        <v>40</v>
      </c>
      <c r="E7" s="83">
        <f t="shared" si="1"/>
        <v>40</v>
      </c>
      <c r="F7" s="77"/>
      <c r="G7" s="84">
        <f t="shared" si="2"/>
        <v>100.8</v>
      </c>
      <c r="H7" s="83">
        <v>80</v>
      </c>
      <c r="I7" s="83">
        <v>80</v>
      </c>
      <c r="J7" s="83">
        <f t="shared" si="3"/>
        <v>20</v>
      </c>
      <c r="K7" s="83">
        <f>(4.5*8)/2</f>
        <v>18</v>
      </c>
      <c r="L7" s="77">
        <f>(4.5*8)/2</f>
        <v>18</v>
      </c>
      <c r="M7" s="77">
        <f>1.5*3*0.5</f>
        <v>2.25</v>
      </c>
      <c r="N7" s="77"/>
      <c r="O7" s="77"/>
      <c r="P7" s="77"/>
      <c r="Q7" s="77"/>
      <c r="R7" s="77"/>
    </row>
    <row r="8" spans="1:18">
      <c r="A8" s="73"/>
      <c r="B8" s="85">
        <v>6.5259999999999998</v>
      </c>
      <c r="C8" s="83">
        <v>15</v>
      </c>
      <c r="D8" s="83">
        <f t="shared" si="0"/>
        <v>39</v>
      </c>
      <c r="E8" s="83">
        <f t="shared" si="1"/>
        <v>39</v>
      </c>
      <c r="F8" s="77"/>
      <c r="G8" s="84">
        <f t="shared" si="2"/>
        <v>98.28</v>
      </c>
      <c r="H8" s="83">
        <v>78</v>
      </c>
      <c r="I8" s="83">
        <v>78</v>
      </c>
      <c r="J8" s="83">
        <f t="shared" si="3"/>
        <v>20</v>
      </c>
      <c r="K8" s="83">
        <f>(4.5*8)/2</f>
        <v>18</v>
      </c>
      <c r="L8" s="77">
        <f>(4.5*8)/2</f>
        <v>18</v>
      </c>
      <c r="M8" s="77">
        <f>1.5*3*0.5</f>
        <v>2.25</v>
      </c>
      <c r="N8" s="77"/>
      <c r="O8" s="77"/>
      <c r="P8" s="77"/>
      <c r="Q8" s="77"/>
      <c r="R8" s="77"/>
    </row>
    <row r="9" spans="1:18">
      <c r="A9" s="73"/>
      <c r="B9" s="85">
        <v>6.7</v>
      </c>
      <c r="C9" s="83">
        <v>14</v>
      </c>
      <c r="D9" s="83">
        <f t="shared" si="0"/>
        <v>39</v>
      </c>
      <c r="E9" s="83">
        <f t="shared" si="1"/>
        <v>39</v>
      </c>
      <c r="F9" s="77"/>
      <c r="G9" s="84">
        <f t="shared" si="2"/>
        <v>98.28</v>
      </c>
      <c r="H9" s="83">
        <v>78</v>
      </c>
      <c r="I9" s="83">
        <v>78</v>
      </c>
      <c r="J9" s="83">
        <f t="shared" si="3"/>
        <v>20</v>
      </c>
      <c r="K9" s="77"/>
      <c r="L9" s="77"/>
      <c r="M9" s="77"/>
      <c r="N9" s="77"/>
      <c r="O9" s="77"/>
      <c r="P9" s="77"/>
      <c r="Q9" s="77"/>
      <c r="R9" s="77"/>
    </row>
    <row r="10" spans="1:18">
      <c r="A10" s="73"/>
      <c r="B10" s="86">
        <v>6.7649999999999997</v>
      </c>
      <c r="C10" s="83">
        <v>16</v>
      </c>
      <c r="D10" s="83">
        <f t="shared" si="0"/>
        <v>45</v>
      </c>
      <c r="E10" s="83">
        <f t="shared" si="1"/>
        <v>45</v>
      </c>
      <c r="F10" s="77"/>
      <c r="G10" s="84">
        <f t="shared" si="2"/>
        <v>113.4</v>
      </c>
      <c r="H10" s="83">
        <v>90</v>
      </c>
      <c r="I10" s="83">
        <v>90</v>
      </c>
      <c r="J10" s="83">
        <f t="shared" si="3"/>
        <v>20</v>
      </c>
      <c r="K10" s="77"/>
      <c r="L10" s="77"/>
      <c r="M10" s="77"/>
      <c r="N10" s="77"/>
      <c r="O10" s="77"/>
      <c r="P10" s="77"/>
      <c r="Q10" s="77"/>
      <c r="R10" s="77"/>
    </row>
    <row r="11" spans="1:18">
      <c r="A11" s="73"/>
      <c r="B11" s="86">
        <v>6.8449999999999998</v>
      </c>
      <c r="C11" s="83">
        <v>14</v>
      </c>
      <c r="D11" s="83">
        <f t="shared" si="0"/>
        <v>36</v>
      </c>
      <c r="E11" s="83">
        <f t="shared" si="1"/>
        <v>36</v>
      </c>
      <c r="F11" s="77"/>
      <c r="G11" s="84">
        <f t="shared" si="2"/>
        <v>90.72</v>
      </c>
      <c r="H11" s="83">
        <v>72</v>
      </c>
      <c r="I11" s="83">
        <v>72</v>
      </c>
      <c r="J11" s="83">
        <f t="shared" si="3"/>
        <v>20</v>
      </c>
      <c r="K11" s="77">
        <f>2.5*8</f>
        <v>20</v>
      </c>
      <c r="L11" s="77">
        <f>2.5*8</f>
        <v>20</v>
      </c>
      <c r="M11" s="77">
        <f>1.5*3*0.5</f>
        <v>2.25</v>
      </c>
      <c r="N11" s="77"/>
      <c r="O11" s="77"/>
      <c r="P11" s="77"/>
      <c r="Q11" s="77"/>
      <c r="R11" s="77"/>
    </row>
    <row r="12" spans="1:18">
      <c r="A12" s="73"/>
      <c r="B12" s="86">
        <v>7.0519999999999996</v>
      </c>
      <c r="C12" s="83">
        <v>16</v>
      </c>
      <c r="D12" s="83">
        <f t="shared" si="0"/>
        <v>42</v>
      </c>
      <c r="E12" s="83">
        <f t="shared" si="1"/>
        <v>42</v>
      </c>
      <c r="F12" s="77"/>
      <c r="G12" s="84">
        <f t="shared" si="2"/>
        <v>105.84</v>
      </c>
      <c r="H12" s="83">
        <v>84</v>
      </c>
      <c r="I12" s="83">
        <v>84</v>
      </c>
      <c r="J12" s="83">
        <f t="shared" si="3"/>
        <v>20</v>
      </c>
      <c r="K12" s="77"/>
      <c r="L12" s="77"/>
      <c r="M12" s="77"/>
      <c r="N12" s="77"/>
      <c r="O12" s="77"/>
      <c r="P12" s="77"/>
      <c r="Q12" s="77"/>
      <c r="R12" s="77"/>
    </row>
    <row r="13" spans="1:18">
      <c r="A13" s="73"/>
      <c r="B13" s="86">
        <v>7.0819999999999999</v>
      </c>
      <c r="C13" s="83">
        <v>16</v>
      </c>
      <c r="D13" s="83">
        <f t="shared" si="0"/>
        <v>43</v>
      </c>
      <c r="E13" s="83">
        <f t="shared" si="1"/>
        <v>43</v>
      </c>
      <c r="F13" s="83"/>
      <c r="G13" s="84">
        <f t="shared" si="2"/>
        <v>108.36</v>
      </c>
      <c r="H13" s="83">
        <v>86</v>
      </c>
      <c r="I13" s="83">
        <v>86</v>
      </c>
      <c r="J13" s="83">
        <f t="shared" si="3"/>
        <v>20</v>
      </c>
      <c r="K13" s="77"/>
      <c r="L13" s="77"/>
      <c r="M13" s="77"/>
      <c r="N13" s="77"/>
      <c r="O13" s="77"/>
      <c r="P13" s="77"/>
      <c r="Q13" s="77"/>
      <c r="R13" s="77"/>
    </row>
    <row r="14" spans="1:18">
      <c r="A14" s="73"/>
      <c r="B14" s="86">
        <v>7.1479999999999997</v>
      </c>
      <c r="C14" s="83">
        <v>18</v>
      </c>
      <c r="D14" s="83">
        <f t="shared" si="0"/>
        <v>44.5</v>
      </c>
      <c r="E14" s="83">
        <f t="shared" si="1"/>
        <v>44.5</v>
      </c>
      <c r="F14" s="83"/>
      <c r="G14" s="84">
        <f t="shared" si="2"/>
        <v>112.14</v>
      </c>
      <c r="H14" s="83">
        <v>89</v>
      </c>
      <c r="I14" s="83">
        <v>89</v>
      </c>
      <c r="J14" s="83">
        <f t="shared" si="3"/>
        <v>20</v>
      </c>
      <c r="K14" s="77"/>
      <c r="L14" s="77"/>
      <c r="M14" s="77"/>
      <c r="N14" s="77"/>
      <c r="O14" s="77"/>
      <c r="P14" s="77"/>
      <c r="Q14" s="77"/>
      <c r="R14" s="77"/>
    </row>
    <row r="15" spans="1:18">
      <c r="A15" s="73"/>
      <c r="B15" s="86">
        <v>7.2270000000000003</v>
      </c>
      <c r="C15" s="83">
        <v>15</v>
      </c>
      <c r="D15" s="83">
        <f t="shared" si="0"/>
        <v>39</v>
      </c>
      <c r="E15" s="83">
        <f t="shared" si="1"/>
        <v>39</v>
      </c>
      <c r="F15" s="83"/>
      <c r="G15" s="84">
        <f t="shared" si="2"/>
        <v>98.28</v>
      </c>
      <c r="H15" s="83">
        <v>78</v>
      </c>
      <c r="I15" s="83">
        <v>78</v>
      </c>
      <c r="J15" s="83">
        <f t="shared" si="3"/>
        <v>20</v>
      </c>
      <c r="K15" s="77"/>
      <c r="L15" s="77"/>
      <c r="M15" s="77"/>
      <c r="N15" s="77"/>
      <c r="O15" s="77"/>
      <c r="P15" s="77"/>
      <c r="Q15" s="77"/>
      <c r="R15" s="77"/>
    </row>
    <row r="16" spans="1:18">
      <c r="A16" s="73"/>
      <c r="B16" s="86">
        <v>7.2619999999999996</v>
      </c>
      <c r="C16" s="83">
        <v>15</v>
      </c>
      <c r="D16" s="83">
        <f t="shared" si="0"/>
        <v>39</v>
      </c>
      <c r="E16" s="83">
        <f t="shared" si="1"/>
        <v>39</v>
      </c>
      <c r="F16" s="83"/>
      <c r="G16" s="84">
        <f t="shared" si="2"/>
        <v>98.28</v>
      </c>
      <c r="H16" s="83">
        <v>78</v>
      </c>
      <c r="I16" s="83">
        <v>78</v>
      </c>
      <c r="J16" s="83">
        <f t="shared" si="3"/>
        <v>20</v>
      </c>
      <c r="K16" s="77"/>
      <c r="L16" s="77"/>
      <c r="M16" s="77"/>
      <c r="N16" s="77"/>
      <c r="O16" s="77"/>
      <c r="P16" s="77"/>
      <c r="Q16" s="77"/>
      <c r="R16" s="77"/>
    </row>
    <row r="17" spans="1:18">
      <c r="A17" s="73"/>
      <c r="B17" s="85">
        <v>7.32</v>
      </c>
      <c r="C17" s="83">
        <v>15</v>
      </c>
      <c r="D17" s="83">
        <f t="shared" si="0"/>
        <v>39</v>
      </c>
      <c r="E17" s="83">
        <f t="shared" si="1"/>
        <v>39</v>
      </c>
      <c r="F17" s="83"/>
      <c r="G17" s="84">
        <f t="shared" si="2"/>
        <v>98.28</v>
      </c>
      <c r="H17" s="83">
        <v>78</v>
      </c>
      <c r="I17" s="83">
        <v>78</v>
      </c>
      <c r="J17" s="83">
        <f t="shared" si="3"/>
        <v>20</v>
      </c>
      <c r="K17" s="77"/>
      <c r="L17" s="77"/>
      <c r="M17" s="77"/>
      <c r="N17" s="77"/>
      <c r="O17" s="77"/>
      <c r="P17" s="77"/>
      <c r="Q17" s="77"/>
      <c r="R17" s="77"/>
    </row>
    <row r="18" spans="1:18">
      <c r="A18" s="73"/>
      <c r="B18" s="85">
        <v>7.52</v>
      </c>
      <c r="C18" s="83">
        <v>15</v>
      </c>
      <c r="D18" s="83">
        <f t="shared" si="0"/>
        <v>39</v>
      </c>
      <c r="E18" s="83">
        <f t="shared" si="1"/>
        <v>39</v>
      </c>
      <c r="F18" s="83"/>
      <c r="G18" s="84">
        <f t="shared" si="2"/>
        <v>98.28</v>
      </c>
      <c r="H18" s="83">
        <v>78</v>
      </c>
      <c r="I18" s="83">
        <v>78</v>
      </c>
      <c r="J18" s="83">
        <f t="shared" si="3"/>
        <v>20</v>
      </c>
      <c r="K18" s="77"/>
      <c r="L18" s="77"/>
      <c r="M18" s="77"/>
      <c r="N18" s="77"/>
      <c r="O18" s="77"/>
      <c r="P18" s="77"/>
      <c r="Q18" s="77"/>
      <c r="R18" s="77"/>
    </row>
    <row r="19" spans="1:18">
      <c r="A19" s="73"/>
      <c r="B19" s="85">
        <v>7.6230000000000002</v>
      </c>
      <c r="C19" s="83">
        <v>15</v>
      </c>
      <c r="D19" s="83">
        <f t="shared" si="0"/>
        <v>39</v>
      </c>
      <c r="E19" s="83">
        <f t="shared" si="1"/>
        <v>39</v>
      </c>
      <c r="F19" s="83"/>
      <c r="G19" s="84">
        <f t="shared" si="2"/>
        <v>98.28</v>
      </c>
      <c r="H19" s="83">
        <v>78</v>
      </c>
      <c r="I19" s="83">
        <v>78</v>
      </c>
      <c r="J19" s="83">
        <f t="shared" si="3"/>
        <v>20</v>
      </c>
      <c r="K19" s="77"/>
      <c r="L19" s="77"/>
      <c r="M19" s="77"/>
      <c r="N19" s="77"/>
      <c r="O19" s="77"/>
      <c r="P19" s="77"/>
      <c r="Q19" s="77"/>
      <c r="R19" s="77"/>
    </row>
    <row r="20" spans="1:18">
      <c r="A20" s="73"/>
      <c r="B20" s="85">
        <v>7.702</v>
      </c>
      <c r="C20" s="83">
        <v>15</v>
      </c>
      <c r="D20" s="83">
        <f t="shared" si="0"/>
        <v>39</v>
      </c>
      <c r="E20" s="83">
        <f t="shared" si="1"/>
        <v>39</v>
      </c>
      <c r="F20" s="83"/>
      <c r="G20" s="84">
        <f t="shared" si="2"/>
        <v>98.28</v>
      </c>
      <c r="H20" s="83">
        <v>78</v>
      </c>
      <c r="I20" s="83">
        <v>78</v>
      </c>
      <c r="J20" s="83">
        <f t="shared" si="3"/>
        <v>20</v>
      </c>
      <c r="K20" s="77"/>
      <c r="L20" s="77"/>
      <c r="M20" s="77"/>
      <c r="N20" s="77"/>
      <c r="O20" s="77"/>
      <c r="P20" s="77"/>
      <c r="Q20" s="77"/>
      <c r="R20" s="77"/>
    </row>
    <row r="21" spans="1:18">
      <c r="A21" s="73"/>
      <c r="B21" s="85">
        <v>7.7619999999999996</v>
      </c>
      <c r="C21" s="83">
        <v>15</v>
      </c>
      <c r="D21" s="83">
        <f t="shared" si="0"/>
        <v>39</v>
      </c>
      <c r="E21" s="83">
        <f t="shared" si="1"/>
        <v>39</v>
      </c>
      <c r="F21" s="83"/>
      <c r="G21" s="84">
        <f t="shared" si="2"/>
        <v>98.28</v>
      </c>
      <c r="H21" s="83">
        <v>78</v>
      </c>
      <c r="I21" s="83">
        <v>78</v>
      </c>
      <c r="J21" s="83">
        <f t="shared" si="3"/>
        <v>20</v>
      </c>
      <c r="K21" s="77"/>
      <c r="L21" s="77"/>
      <c r="M21" s="77"/>
      <c r="N21" s="77"/>
      <c r="O21" s="77"/>
      <c r="P21" s="77"/>
      <c r="Q21" s="77"/>
      <c r="R21" s="77"/>
    </row>
    <row r="22" spans="1:18">
      <c r="A22" s="73"/>
      <c r="B22" s="85">
        <v>7.8019999999999996</v>
      </c>
      <c r="C22" s="83">
        <v>15</v>
      </c>
      <c r="D22" s="83">
        <f t="shared" si="0"/>
        <v>39</v>
      </c>
      <c r="E22" s="83">
        <f t="shared" si="1"/>
        <v>39</v>
      </c>
      <c r="F22" s="83"/>
      <c r="G22" s="84">
        <f t="shared" si="2"/>
        <v>98.28</v>
      </c>
      <c r="H22" s="83">
        <v>78</v>
      </c>
      <c r="I22" s="83">
        <v>78</v>
      </c>
      <c r="J22" s="83">
        <f t="shared" si="3"/>
        <v>20</v>
      </c>
      <c r="K22" s="77"/>
      <c r="L22" s="77"/>
      <c r="M22" s="77"/>
      <c r="N22" s="77"/>
      <c r="O22" s="77"/>
      <c r="P22" s="77"/>
      <c r="Q22" s="77"/>
      <c r="R22" s="77"/>
    </row>
    <row r="23" spans="1:18">
      <c r="A23" s="73"/>
      <c r="B23" s="85">
        <v>7.8860000000000001</v>
      </c>
      <c r="C23" s="83">
        <v>15.5</v>
      </c>
      <c r="D23" s="83">
        <f t="shared" si="0"/>
        <v>35.5</v>
      </c>
      <c r="E23" s="83">
        <f t="shared" si="1"/>
        <v>35.5</v>
      </c>
      <c r="F23" s="83">
        <f>2.6*8</f>
        <v>20.8</v>
      </c>
      <c r="G23" s="84">
        <f t="shared" si="2"/>
        <v>89.46</v>
      </c>
      <c r="H23" s="83">
        <v>71</v>
      </c>
      <c r="I23" s="83">
        <v>71</v>
      </c>
      <c r="J23" s="83">
        <f t="shared" si="3"/>
        <v>20</v>
      </c>
      <c r="K23" s="77">
        <f>3.5*8</f>
        <v>28</v>
      </c>
      <c r="L23" s="77">
        <f>3.5*8</f>
        <v>28</v>
      </c>
      <c r="M23" s="77">
        <f>1.5*3*0.5*2</f>
        <v>4.5</v>
      </c>
      <c r="N23" s="77">
        <f>0.8*8</f>
        <v>6.4</v>
      </c>
      <c r="O23" s="77">
        <f>0.3*8</f>
        <v>2.4</v>
      </c>
      <c r="P23" s="77">
        <f>1.6*8</f>
        <v>12.8</v>
      </c>
      <c r="Q23" s="77">
        <f>1.9*8</f>
        <v>15.2</v>
      </c>
      <c r="R23" s="77">
        <f>1.7*8</f>
        <v>13.6</v>
      </c>
    </row>
    <row r="24" spans="1:18">
      <c r="A24" s="73"/>
      <c r="B24" s="85">
        <v>7.94</v>
      </c>
      <c r="C24" s="83">
        <v>15.5</v>
      </c>
      <c r="D24" s="83">
        <f t="shared" si="0"/>
        <v>38</v>
      </c>
      <c r="E24" s="83">
        <f t="shared" si="1"/>
        <v>38</v>
      </c>
      <c r="F24" s="83">
        <f>2.6*8</f>
        <v>20.8</v>
      </c>
      <c r="G24" s="84">
        <f t="shared" si="2"/>
        <v>95.76</v>
      </c>
      <c r="H24" s="83">
        <v>76</v>
      </c>
      <c r="I24" s="83">
        <v>76</v>
      </c>
      <c r="J24" s="83">
        <f t="shared" si="3"/>
        <v>20</v>
      </c>
      <c r="K24" s="77">
        <f>3.5*8</f>
        <v>28</v>
      </c>
      <c r="L24" s="77">
        <f>3.5*8</f>
        <v>28</v>
      </c>
      <c r="M24" s="77">
        <f>1.5*3*0.5*2</f>
        <v>4.5</v>
      </c>
      <c r="N24" s="77">
        <f>0.8*8</f>
        <v>6.4</v>
      </c>
      <c r="O24" s="77">
        <f>0.3*8</f>
        <v>2.4</v>
      </c>
      <c r="P24" s="77">
        <f>1.6*8</f>
        <v>12.8</v>
      </c>
      <c r="Q24" s="77">
        <f>1.9*8</f>
        <v>15.2</v>
      </c>
      <c r="R24" s="77">
        <f>1.7*8</f>
        <v>13.6</v>
      </c>
    </row>
    <row r="25" spans="1:18">
      <c r="A25" s="73"/>
      <c r="B25" s="85">
        <v>7.9870000000000001</v>
      </c>
      <c r="C25" s="83">
        <v>13</v>
      </c>
      <c r="D25" s="83">
        <f t="shared" si="0"/>
        <v>34</v>
      </c>
      <c r="E25" s="83">
        <f t="shared" si="1"/>
        <v>34</v>
      </c>
      <c r="F25" s="83">
        <f>2.6*8</f>
        <v>20.8</v>
      </c>
      <c r="G25" s="84">
        <f t="shared" si="2"/>
        <v>85.68</v>
      </c>
      <c r="H25" s="83">
        <v>68</v>
      </c>
      <c r="I25" s="83">
        <v>68</v>
      </c>
      <c r="J25" s="83">
        <f t="shared" si="3"/>
        <v>20</v>
      </c>
      <c r="K25" s="77"/>
      <c r="L25" s="77"/>
      <c r="M25" s="77">
        <f>1.5*3*0.5</f>
        <v>2.25</v>
      </c>
      <c r="N25" s="77">
        <f>0.8*8</f>
        <v>6.4</v>
      </c>
      <c r="O25" s="77">
        <f>0.3*8</f>
        <v>2.4</v>
      </c>
      <c r="P25" s="77">
        <f>1.6*8</f>
        <v>12.8</v>
      </c>
      <c r="Q25" s="77">
        <f>1.9*8</f>
        <v>15.2</v>
      </c>
      <c r="R25" s="77">
        <f>1.7*8</f>
        <v>13.6</v>
      </c>
    </row>
    <row r="26" spans="1:18">
      <c r="A26" s="73"/>
      <c r="B26" s="85">
        <v>8.0619999999999994</v>
      </c>
      <c r="C26" s="83">
        <v>15</v>
      </c>
      <c r="D26" s="83">
        <f t="shared" si="0"/>
        <v>39</v>
      </c>
      <c r="E26" s="83">
        <f t="shared" si="1"/>
        <v>39</v>
      </c>
      <c r="F26" s="83">
        <f>2.6*8</f>
        <v>20.8</v>
      </c>
      <c r="G26" s="84">
        <f t="shared" si="2"/>
        <v>98.28</v>
      </c>
      <c r="H26" s="83">
        <v>78</v>
      </c>
      <c r="I26" s="83">
        <v>78</v>
      </c>
      <c r="J26" s="83">
        <f t="shared" si="3"/>
        <v>20</v>
      </c>
      <c r="K26" s="77"/>
      <c r="L26" s="77"/>
      <c r="M26" s="77">
        <f>1.5*3*0.5</f>
        <v>2.25</v>
      </c>
      <c r="N26" s="77">
        <f>0.8*8</f>
        <v>6.4</v>
      </c>
      <c r="O26" s="77">
        <f>0.3*8</f>
        <v>2.4</v>
      </c>
      <c r="P26" s="77">
        <f>1.6*8</f>
        <v>12.8</v>
      </c>
      <c r="Q26" s="77">
        <f>1.9*8</f>
        <v>15.2</v>
      </c>
      <c r="R26" s="77">
        <f>1.7*8</f>
        <v>13.6</v>
      </c>
    </row>
    <row r="27" spans="1:18">
      <c r="A27" s="73"/>
      <c r="B27" s="85">
        <v>8.4420000000000002</v>
      </c>
      <c r="C27" s="83">
        <v>12</v>
      </c>
      <c r="D27" s="83">
        <f t="shared" si="0"/>
        <v>31.5</v>
      </c>
      <c r="E27" s="83">
        <f t="shared" si="1"/>
        <v>31.5</v>
      </c>
      <c r="F27" s="83">
        <f>2.6*8</f>
        <v>20.8</v>
      </c>
      <c r="G27" s="84">
        <f t="shared" si="2"/>
        <v>79.38</v>
      </c>
      <c r="H27" s="83">
        <v>63</v>
      </c>
      <c r="I27" s="83">
        <v>63</v>
      </c>
      <c r="J27" s="83">
        <f t="shared" si="3"/>
        <v>20</v>
      </c>
      <c r="K27" s="77"/>
      <c r="L27" s="77"/>
      <c r="M27" s="77">
        <f>1.5*3*0.5</f>
        <v>2.25</v>
      </c>
      <c r="N27" s="77">
        <f>0.8*8</f>
        <v>6.4</v>
      </c>
      <c r="O27" s="77">
        <f>0.3*8</f>
        <v>2.4</v>
      </c>
      <c r="P27" s="77">
        <f>1.6*8</f>
        <v>12.8</v>
      </c>
      <c r="Q27" s="77">
        <f>1.9*8</f>
        <v>15.2</v>
      </c>
      <c r="R27" s="77">
        <f>1.7*8</f>
        <v>13.6</v>
      </c>
    </row>
    <row r="28" spans="1:18">
      <c r="A28" s="73"/>
      <c r="B28" s="85">
        <v>8.4619999999999997</v>
      </c>
      <c r="C28" s="83">
        <v>14</v>
      </c>
      <c r="D28" s="83">
        <f t="shared" si="0"/>
        <v>35.5</v>
      </c>
      <c r="E28" s="83">
        <f t="shared" si="1"/>
        <v>35.5</v>
      </c>
      <c r="F28" s="83"/>
      <c r="G28" s="84">
        <f t="shared" si="2"/>
        <v>89.46</v>
      </c>
      <c r="H28" s="83">
        <v>71</v>
      </c>
      <c r="I28" s="83">
        <v>71</v>
      </c>
      <c r="J28" s="83">
        <f t="shared" si="3"/>
        <v>20</v>
      </c>
      <c r="K28" s="77"/>
      <c r="L28" s="77"/>
      <c r="M28" s="77"/>
      <c r="N28" s="77"/>
      <c r="O28" s="77"/>
      <c r="P28" s="77"/>
      <c r="Q28" s="77"/>
      <c r="R28" s="77"/>
    </row>
    <row r="29" spans="1:18">
      <c r="A29" s="73"/>
      <c r="B29" s="85">
        <v>8.4969999999999999</v>
      </c>
      <c r="C29" s="83">
        <v>16</v>
      </c>
      <c r="D29" s="83">
        <f t="shared" si="0"/>
        <v>40.5</v>
      </c>
      <c r="E29" s="83">
        <f t="shared" si="1"/>
        <v>40.5</v>
      </c>
      <c r="F29" s="83">
        <f>2.6*8</f>
        <v>20.8</v>
      </c>
      <c r="G29" s="84">
        <f t="shared" si="2"/>
        <v>102.06</v>
      </c>
      <c r="H29" s="83">
        <v>81</v>
      </c>
      <c r="I29" s="83">
        <v>81</v>
      </c>
      <c r="J29" s="83">
        <f t="shared" si="3"/>
        <v>20</v>
      </c>
      <c r="K29" s="77"/>
      <c r="L29" s="77"/>
      <c r="M29" s="77">
        <f>1.5*3*0.5</f>
        <v>2.25</v>
      </c>
      <c r="N29" s="77">
        <f>0.8*8</f>
        <v>6.4</v>
      </c>
      <c r="O29" s="77">
        <f>0.3*8</f>
        <v>2.4</v>
      </c>
      <c r="P29" s="77">
        <f>1.6*8</f>
        <v>12.8</v>
      </c>
      <c r="Q29" s="77">
        <f>1.9*8</f>
        <v>15.2</v>
      </c>
      <c r="R29" s="77">
        <f>1.7*8</f>
        <v>13.6</v>
      </c>
    </row>
    <row r="30" spans="1:18">
      <c r="A30" s="73"/>
      <c r="B30" s="85">
        <v>8.5340000000000007</v>
      </c>
      <c r="C30" s="83">
        <v>16</v>
      </c>
      <c r="D30" s="83">
        <f t="shared" si="0"/>
        <v>40.5</v>
      </c>
      <c r="E30" s="83">
        <f t="shared" si="1"/>
        <v>40.5</v>
      </c>
      <c r="F30" s="83">
        <f>2.6*8</f>
        <v>20.8</v>
      </c>
      <c r="G30" s="84">
        <f t="shared" si="2"/>
        <v>102.06</v>
      </c>
      <c r="H30" s="83">
        <v>81</v>
      </c>
      <c r="I30" s="83">
        <v>81</v>
      </c>
      <c r="J30" s="83">
        <f t="shared" si="3"/>
        <v>20</v>
      </c>
      <c r="K30" s="77"/>
      <c r="L30" s="77"/>
      <c r="M30" s="77">
        <f>1.5*3*0.5</f>
        <v>2.25</v>
      </c>
      <c r="N30" s="77">
        <f>0.8*8</f>
        <v>6.4</v>
      </c>
      <c r="O30" s="77">
        <f>0.3*8</f>
        <v>2.4</v>
      </c>
      <c r="P30" s="77">
        <f>1.6*8</f>
        <v>12.8</v>
      </c>
      <c r="Q30" s="77">
        <f>1.9*8</f>
        <v>15.2</v>
      </c>
      <c r="R30" s="77">
        <f>1.7*8</f>
        <v>13.6</v>
      </c>
    </row>
    <row r="31" spans="1:18">
      <c r="A31" s="73"/>
      <c r="B31" s="85">
        <v>8.59</v>
      </c>
      <c r="C31" s="83">
        <v>16</v>
      </c>
      <c r="D31" s="83">
        <f t="shared" si="0"/>
        <v>40.5</v>
      </c>
      <c r="E31" s="83">
        <f t="shared" si="1"/>
        <v>40.5</v>
      </c>
      <c r="F31" s="83">
        <f>2.6*8</f>
        <v>20.8</v>
      </c>
      <c r="G31" s="84">
        <f t="shared" si="2"/>
        <v>102.06</v>
      </c>
      <c r="H31" s="83">
        <v>81</v>
      </c>
      <c r="I31" s="83">
        <v>81</v>
      </c>
      <c r="J31" s="83">
        <f t="shared" si="3"/>
        <v>20</v>
      </c>
      <c r="K31" s="77"/>
      <c r="L31" s="77"/>
      <c r="M31" s="77">
        <f>1.5*3*0.5</f>
        <v>2.25</v>
      </c>
      <c r="N31" s="77">
        <f>0.8*8</f>
        <v>6.4</v>
      </c>
      <c r="O31" s="77">
        <f>0.3*8</f>
        <v>2.4</v>
      </c>
      <c r="P31" s="77">
        <f>1.6*8</f>
        <v>12.8</v>
      </c>
      <c r="Q31" s="77">
        <f>1.9*8</f>
        <v>15.2</v>
      </c>
      <c r="R31" s="77">
        <f>1.7*8</f>
        <v>13.6</v>
      </c>
    </row>
    <row r="32" spans="1:18">
      <c r="A32" s="73"/>
      <c r="B32" s="85">
        <v>8.6319999999999997</v>
      </c>
      <c r="C32" s="83">
        <v>13</v>
      </c>
      <c r="D32" s="83">
        <f t="shared" si="0"/>
        <v>33</v>
      </c>
      <c r="E32" s="83">
        <f t="shared" si="1"/>
        <v>33</v>
      </c>
      <c r="F32" s="83">
        <f>2.6*8</f>
        <v>20.8</v>
      </c>
      <c r="G32" s="84">
        <f t="shared" si="2"/>
        <v>83.16</v>
      </c>
      <c r="H32" s="83">
        <v>66</v>
      </c>
      <c r="I32" s="83">
        <v>66</v>
      </c>
      <c r="J32" s="83">
        <f t="shared" si="3"/>
        <v>20</v>
      </c>
      <c r="K32" s="77"/>
      <c r="L32" s="77"/>
      <c r="M32" s="77">
        <f>1.5*3*0.5</f>
        <v>2.25</v>
      </c>
      <c r="N32" s="77">
        <f>0.8*8</f>
        <v>6.4</v>
      </c>
      <c r="O32" s="77">
        <f>0.3*8</f>
        <v>2.4</v>
      </c>
      <c r="P32" s="77">
        <f>1.6*8</f>
        <v>12.8</v>
      </c>
      <c r="Q32" s="77">
        <f>1.9*8</f>
        <v>15.2</v>
      </c>
      <c r="R32" s="77">
        <f>1.7*8</f>
        <v>13.6</v>
      </c>
    </row>
    <row r="33" spans="1:18">
      <c r="A33" s="73"/>
      <c r="B33" s="85">
        <v>8.673</v>
      </c>
      <c r="C33" s="83">
        <v>13</v>
      </c>
      <c r="D33" s="83">
        <f t="shared" si="0"/>
        <v>33</v>
      </c>
      <c r="E33" s="83">
        <f t="shared" si="1"/>
        <v>33</v>
      </c>
      <c r="F33" s="83"/>
      <c r="G33" s="84">
        <f t="shared" si="2"/>
        <v>83.16</v>
      </c>
      <c r="H33" s="83">
        <v>66</v>
      </c>
      <c r="I33" s="83">
        <v>66</v>
      </c>
      <c r="J33" s="83">
        <f t="shared" si="3"/>
        <v>20</v>
      </c>
      <c r="K33" s="77"/>
      <c r="L33" s="77"/>
      <c r="M33" s="77"/>
      <c r="N33" s="77"/>
      <c r="O33" s="77"/>
      <c r="P33" s="77"/>
      <c r="Q33" s="77"/>
      <c r="R33" s="77"/>
    </row>
    <row r="34" spans="1:18">
      <c r="A34" s="73"/>
      <c r="B34" s="85">
        <v>8.7420000000000009</v>
      </c>
      <c r="C34" s="83">
        <v>13</v>
      </c>
      <c r="D34" s="83">
        <f t="shared" si="0"/>
        <v>37</v>
      </c>
      <c r="E34" s="83">
        <f t="shared" si="1"/>
        <v>37</v>
      </c>
      <c r="F34" s="83"/>
      <c r="G34" s="84">
        <f t="shared" si="2"/>
        <v>93.24</v>
      </c>
      <c r="H34" s="83">
        <v>74</v>
      </c>
      <c r="I34" s="83">
        <v>74</v>
      </c>
      <c r="J34" s="83">
        <f t="shared" si="3"/>
        <v>20</v>
      </c>
      <c r="K34" s="77"/>
      <c r="L34" s="77"/>
      <c r="M34" s="77"/>
      <c r="N34" s="77"/>
      <c r="O34" s="77"/>
      <c r="P34" s="77"/>
      <c r="Q34" s="77"/>
      <c r="R34" s="77"/>
    </row>
    <row r="35" spans="1:18">
      <c r="A35" s="73"/>
      <c r="B35" s="85">
        <v>8.81</v>
      </c>
      <c r="C35" s="83">
        <v>18</v>
      </c>
      <c r="D35" s="83">
        <f t="shared" si="0"/>
        <v>49</v>
      </c>
      <c r="E35" s="83">
        <f t="shared" si="1"/>
        <v>49</v>
      </c>
      <c r="F35" s="83"/>
      <c r="G35" s="84">
        <f t="shared" si="2"/>
        <v>123.48</v>
      </c>
      <c r="H35" s="83">
        <v>98</v>
      </c>
      <c r="I35" s="83">
        <v>98</v>
      </c>
      <c r="J35" s="83">
        <f t="shared" si="3"/>
        <v>20</v>
      </c>
      <c r="K35" s="77"/>
      <c r="L35" s="77"/>
      <c r="M35" s="77"/>
      <c r="N35" s="77"/>
      <c r="O35" s="77"/>
      <c r="P35" s="77"/>
      <c r="Q35" s="77"/>
      <c r="R35" s="77"/>
    </row>
    <row r="36" spans="1:18">
      <c r="A36" s="73"/>
      <c r="B36" s="85">
        <v>8.891</v>
      </c>
      <c r="C36" s="83">
        <v>17</v>
      </c>
      <c r="D36" s="83">
        <f t="shared" si="0"/>
        <v>43.5</v>
      </c>
      <c r="E36" s="83">
        <f t="shared" si="1"/>
        <v>43.5</v>
      </c>
      <c r="F36" s="83"/>
      <c r="G36" s="84">
        <f t="shared" si="2"/>
        <v>109.62</v>
      </c>
      <c r="H36" s="83">
        <v>87</v>
      </c>
      <c r="I36" s="83">
        <v>87</v>
      </c>
      <c r="J36" s="83">
        <f t="shared" si="3"/>
        <v>20</v>
      </c>
      <c r="K36" s="77"/>
      <c r="L36" s="77"/>
      <c r="M36" s="77"/>
      <c r="N36" s="77"/>
      <c r="O36" s="77"/>
      <c r="P36" s="77"/>
      <c r="Q36" s="77"/>
      <c r="R36" s="77"/>
    </row>
    <row r="37" spans="1:18">
      <c r="A37" s="73"/>
      <c r="B37" s="85">
        <v>8.952</v>
      </c>
      <c r="C37" s="83">
        <v>16</v>
      </c>
      <c r="D37" s="83">
        <f t="shared" ref="D37:D56" si="4">(H37*1)/2</f>
        <v>41</v>
      </c>
      <c r="E37" s="83">
        <f t="shared" ref="E37:E68" si="5">D37</f>
        <v>41</v>
      </c>
      <c r="F37" s="83"/>
      <c r="G37" s="84">
        <f t="shared" ref="G37:G68" si="6">H37*1.26</f>
        <v>103.32000000000001</v>
      </c>
      <c r="H37" s="83">
        <v>82</v>
      </c>
      <c r="I37" s="83">
        <v>82</v>
      </c>
      <c r="J37" s="83">
        <f t="shared" ref="J37:J56" si="7">10*2</f>
        <v>20</v>
      </c>
      <c r="K37" s="77"/>
      <c r="L37" s="77"/>
      <c r="M37" s="77"/>
      <c r="N37" s="77"/>
      <c r="O37" s="77"/>
      <c r="P37" s="77"/>
      <c r="Q37" s="77"/>
      <c r="R37" s="77"/>
    </row>
    <row r="38" spans="1:18">
      <c r="A38" s="73"/>
      <c r="B38" s="85">
        <v>9.0329999999999995</v>
      </c>
      <c r="C38" s="83">
        <v>16</v>
      </c>
      <c r="D38" s="83">
        <f t="shared" si="4"/>
        <v>42</v>
      </c>
      <c r="E38" s="83">
        <f t="shared" si="5"/>
        <v>42</v>
      </c>
      <c r="F38" s="83"/>
      <c r="G38" s="84">
        <f t="shared" si="6"/>
        <v>105.84</v>
      </c>
      <c r="H38" s="83">
        <v>84</v>
      </c>
      <c r="I38" s="83">
        <v>84</v>
      </c>
      <c r="J38" s="83">
        <f t="shared" si="7"/>
        <v>20</v>
      </c>
      <c r="K38" s="77"/>
      <c r="L38" s="77"/>
      <c r="M38" s="77"/>
      <c r="N38" s="77"/>
      <c r="O38" s="77"/>
      <c r="P38" s="77"/>
      <c r="Q38" s="77"/>
      <c r="R38" s="77"/>
    </row>
    <row r="39" spans="1:18">
      <c r="A39" s="73"/>
      <c r="B39" s="85">
        <v>9.1329999999999991</v>
      </c>
      <c r="C39" s="83">
        <v>18</v>
      </c>
      <c r="D39" s="83">
        <f t="shared" si="4"/>
        <v>49</v>
      </c>
      <c r="E39" s="83">
        <f t="shared" si="5"/>
        <v>49</v>
      </c>
      <c r="F39" s="83"/>
      <c r="G39" s="84">
        <f t="shared" si="6"/>
        <v>123.48</v>
      </c>
      <c r="H39" s="83">
        <v>98</v>
      </c>
      <c r="I39" s="83">
        <v>98</v>
      </c>
      <c r="J39" s="83">
        <f t="shared" si="7"/>
        <v>20</v>
      </c>
      <c r="K39" s="77"/>
      <c r="L39" s="77"/>
      <c r="M39" s="77"/>
      <c r="N39" s="77"/>
      <c r="O39" s="77"/>
      <c r="P39" s="77"/>
      <c r="Q39" s="77"/>
      <c r="R39" s="77"/>
    </row>
    <row r="40" spans="1:18">
      <c r="A40" s="73"/>
      <c r="B40" s="85">
        <v>9.2219999999999995</v>
      </c>
      <c r="C40" s="83">
        <v>18</v>
      </c>
      <c r="D40" s="83">
        <f t="shared" si="4"/>
        <v>51.5</v>
      </c>
      <c r="E40" s="83">
        <f t="shared" si="5"/>
        <v>51.5</v>
      </c>
      <c r="F40" s="83"/>
      <c r="G40" s="84">
        <f t="shared" si="6"/>
        <v>129.78</v>
      </c>
      <c r="H40" s="83">
        <v>103</v>
      </c>
      <c r="I40" s="83">
        <v>103</v>
      </c>
      <c r="J40" s="83">
        <f t="shared" si="7"/>
        <v>20</v>
      </c>
      <c r="K40" s="77"/>
      <c r="L40" s="77"/>
      <c r="M40" s="77"/>
      <c r="N40" s="77"/>
      <c r="O40" s="77"/>
      <c r="P40" s="77"/>
      <c r="Q40" s="77"/>
      <c r="R40" s="77"/>
    </row>
    <row r="41" spans="1:18">
      <c r="A41" s="73"/>
      <c r="B41" s="85">
        <v>9.2799999999999994</v>
      </c>
      <c r="C41" s="83">
        <v>18</v>
      </c>
      <c r="D41" s="83">
        <f t="shared" si="4"/>
        <v>51.5</v>
      </c>
      <c r="E41" s="83">
        <f t="shared" si="5"/>
        <v>51.5</v>
      </c>
      <c r="F41" s="83"/>
      <c r="G41" s="84">
        <f t="shared" si="6"/>
        <v>129.78</v>
      </c>
      <c r="H41" s="83">
        <v>103</v>
      </c>
      <c r="I41" s="83">
        <v>103</v>
      </c>
      <c r="J41" s="83">
        <f t="shared" si="7"/>
        <v>20</v>
      </c>
      <c r="K41" s="77"/>
      <c r="L41" s="77"/>
      <c r="M41" s="77"/>
      <c r="N41" s="77"/>
      <c r="O41" s="77"/>
      <c r="P41" s="77"/>
      <c r="Q41" s="77"/>
      <c r="R41" s="77"/>
    </row>
    <row r="42" spans="1:18">
      <c r="A42" s="73"/>
      <c r="B42" s="85">
        <v>9.39</v>
      </c>
      <c r="C42" s="83">
        <v>19</v>
      </c>
      <c r="D42" s="83">
        <f t="shared" si="4"/>
        <v>49</v>
      </c>
      <c r="E42" s="83">
        <f t="shared" si="5"/>
        <v>49</v>
      </c>
      <c r="F42" s="83"/>
      <c r="G42" s="84">
        <f t="shared" si="6"/>
        <v>123.48</v>
      </c>
      <c r="H42" s="83">
        <v>98</v>
      </c>
      <c r="I42" s="83">
        <v>98</v>
      </c>
      <c r="J42" s="83">
        <f t="shared" si="7"/>
        <v>20</v>
      </c>
      <c r="K42" s="77"/>
      <c r="L42" s="77"/>
      <c r="M42" s="77"/>
      <c r="N42" s="77"/>
      <c r="O42" s="77"/>
      <c r="P42" s="77"/>
      <c r="Q42" s="77"/>
      <c r="R42" s="77"/>
    </row>
    <row r="43" spans="1:18">
      <c r="A43" s="73"/>
      <c r="B43" s="85">
        <v>9.4320000000000004</v>
      </c>
      <c r="C43" s="83">
        <v>18</v>
      </c>
      <c r="D43" s="83">
        <f t="shared" si="4"/>
        <v>48</v>
      </c>
      <c r="E43" s="83">
        <f t="shared" si="5"/>
        <v>48</v>
      </c>
      <c r="F43" s="83"/>
      <c r="G43" s="84">
        <f t="shared" si="6"/>
        <v>120.96000000000001</v>
      </c>
      <c r="H43" s="83">
        <v>96</v>
      </c>
      <c r="I43" s="83">
        <v>96</v>
      </c>
      <c r="J43" s="83">
        <f t="shared" si="7"/>
        <v>20</v>
      </c>
      <c r="K43" s="77"/>
      <c r="L43" s="77"/>
      <c r="M43" s="77"/>
      <c r="N43" s="77"/>
      <c r="O43" s="77"/>
      <c r="P43" s="77"/>
      <c r="Q43" s="77"/>
      <c r="R43" s="77"/>
    </row>
    <row r="44" spans="1:18">
      <c r="A44" s="73"/>
      <c r="B44" s="85">
        <v>9.452</v>
      </c>
      <c r="C44" s="83">
        <v>18</v>
      </c>
      <c r="D44" s="83">
        <f t="shared" si="4"/>
        <v>48</v>
      </c>
      <c r="E44" s="83">
        <f t="shared" si="5"/>
        <v>48</v>
      </c>
      <c r="F44" s="83"/>
      <c r="G44" s="84">
        <f t="shared" si="6"/>
        <v>120.96000000000001</v>
      </c>
      <c r="H44" s="83">
        <v>96</v>
      </c>
      <c r="I44" s="83">
        <v>96</v>
      </c>
      <c r="J44" s="83">
        <f t="shared" si="7"/>
        <v>20</v>
      </c>
      <c r="K44" s="77"/>
      <c r="L44" s="77"/>
      <c r="M44" s="77"/>
      <c r="N44" s="77"/>
      <c r="O44" s="77"/>
      <c r="P44" s="77"/>
      <c r="Q44" s="77"/>
      <c r="R44" s="77"/>
    </row>
    <row r="45" spans="1:18">
      <c r="A45" s="73"/>
      <c r="B45" s="85">
        <v>9.5020000000000007</v>
      </c>
      <c r="C45" s="83">
        <v>19</v>
      </c>
      <c r="D45" s="83">
        <f t="shared" si="4"/>
        <v>50.5</v>
      </c>
      <c r="E45" s="83">
        <f t="shared" si="5"/>
        <v>50.5</v>
      </c>
      <c r="F45" s="83"/>
      <c r="G45" s="84">
        <f t="shared" si="6"/>
        <v>127.26</v>
      </c>
      <c r="H45" s="83">
        <v>101</v>
      </c>
      <c r="I45" s="83">
        <v>101</v>
      </c>
      <c r="J45" s="83">
        <f t="shared" si="7"/>
        <v>20</v>
      </c>
      <c r="K45" s="77"/>
      <c r="L45" s="77"/>
      <c r="M45" s="77"/>
      <c r="N45" s="77"/>
      <c r="O45" s="77"/>
      <c r="P45" s="77"/>
      <c r="Q45" s="77"/>
      <c r="R45" s="77"/>
    </row>
    <row r="46" spans="1:18">
      <c r="A46" s="73"/>
      <c r="B46" s="85">
        <v>9.5259999999999998</v>
      </c>
      <c r="C46" s="83">
        <v>19</v>
      </c>
      <c r="D46" s="83">
        <f t="shared" si="4"/>
        <v>50.5</v>
      </c>
      <c r="E46" s="83">
        <f t="shared" si="5"/>
        <v>50.5</v>
      </c>
      <c r="F46" s="83"/>
      <c r="G46" s="84">
        <f t="shared" si="6"/>
        <v>127.26</v>
      </c>
      <c r="H46" s="83">
        <v>101</v>
      </c>
      <c r="I46" s="83">
        <v>101</v>
      </c>
      <c r="J46" s="83">
        <f t="shared" si="7"/>
        <v>20</v>
      </c>
      <c r="K46" s="77"/>
      <c r="L46" s="77"/>
      <c r="M46" s="77"/>
      <c r="N46" s="77"/>
      <c r="O46" s="77"/>
      <c r="P46" s="77"/>
      <c r="Q46" s="77"/>
      <c r="R46" s="77"/>
    </row>
    <row r="47" spans="1:18">
      <c r="A47" s="73"/>
      <c r="B47" s="85">
        <v>9.59</v>
      </c>
      <c r="C47" s="83">
        <v>19</v>
      </c>
      <c r="D47" s="83">
        <f t="shared" si="4"/>
        <v>50.5</v>
      </c>
      <c r="E47" s="83">
        <f t="shared" si="5"/>
        <v>50.5</v>
      </c>
      <c r="F47" s="83"/>
      <c r="G47" s="84">
        <f t="shared" si="6"/>
        <v>127.26</v>
      </c>
      <c r="H47" s="83">
        <v>101</v>
      </c>
      <c r="I47" s="83">
        <v>101</v>
      </c>
      <c r="J47" s="83">
        <f t="shared" si="7"/>
        <v>20</v>
      </c>
      <c r="K47" s="77"/>
      <c r="L47" s="77"/>
      <c r="M47" s="77"/>
      <c r="N47" s="77"/>
      <c r="O47" s="77"/>
      <c r="P47" s="77"/>
      <c r="Q47" s="77"/>
      <c r="R47" s="77"/>
    </row>
    <row r="48" spans="1:18">
      <c r="A48" s="73"/>
      <c r="B48" s="85">
        <v>9.6419999999999995</v>
      </c>
      <c r="C48" s="83">
        <v>19</v>
      </c>
      <c r="D48" s="83">
        <f t="shared" si="4"/>
        <v>50.5</v>
      </c>
      <c r="E48" s="83">
        <f t="shared" si="5"/>
        <v>50.5</v>
      </c>
      <c r="F48" s="83"/>
      <c r="G48" s="84">
        <f t="shared" si="6"/>
        <v>127.26</v>
      </c>
      <c r="H48" s="83">
        <v>101</v>
      </c>
      <c r="I48" s="83">
        <v>101</v>
      </c>
      <c r="J48" s="83">
        <f t="shared" si="7"/>
        <v>20</v>
      </c>
      <c r="K48" s="77"/>
      <c r="L48" s="77"/>
      <c r="M48" s="77"/>
      <c r="N48" s="77"/>
      <c r="O48" s="77"/>
      <c r="P48" s="77"/>
      <c r="Q48" s="77"/>
      <c r="R48" s="77"/>
    </row>
    <row r="49" spans="1:18">
      <c r="A49" s="73"/>
      <c r="B49" s="85">
        <v>9.673</v>
      </c>
      <c r="C49" s="83">
        <v>19</v>
      </c>
      <c r="D49" s="83">
        <f t="shared" si="4"/>
        <v>53.5</v>
      </c>
      <c r="E49" s="83">
        <f t="shared" si="5"/>
        <v>53.5</v>
      </c>
      <c r="F49" s="83"/>
      <c r="G49" s="84">
        <f t="shared" si="6"/>
        <v>134.82</v>
      </c>
      <c r="H49" s="83">
        <v>107</v>
      </c>
      <c r="I49" s="83">
        <v>107</v>
      </c>
      <c r="J49" s="83">
        <f t="shared" si="7"/>
        <v>20</v>
      </c>
      <c r="K49" s="77"/>
      <c r="L49" s="77"/>
      <c r="M49" s="77"/>
      <c r="N49" s="77"/>
      <c r="O49" s="77"/>
      <c r="P49" s="77"/>
      <c r="Q49" s="77"/>
      <c r="R49" s="77"/>
    </row>
    <row r="50" spans="1:18">
      <c r="A50" s="73"/>
      <c r="B50" s="85">
        <v>9.7189999999999994</v>
      </c>
      <c r="C50" s="83">
        <v>19</v>
      </c>
      <c r="D50" s="83">
        <f t="shared" si="4"/>
        <v>53.5</v>
      </c>
      <c r="E50" s="83">
        <f t="shared" si="5"/>
        <v>53.5</v>
      </c>
      <c r="F50" s="83"/>
      <c r="G50" s="84">
        <f t="shared" si="6"/>
        <v>134.82</v>
      </c>
      <c r="H50" s="83">
        <v>107</v>
      </c>
      <c r="I50" s="83">
        <v>107</v>
      </c>
      <c r="J50" s="83">
        <f t="shared" si="7"/>
        <v>20</v>
      </c>
      <c r="K50" s="77"/>
      <c r="L50" s="77"/>
      <c r="M50" s="77"/>
      <c r="N50" s="77"/>
      <c r="O50" s="77"/>
      <c r="P50" s="77"/>
      <c r="Q50" s="77"/>
      <c r="R50" s="77"/>
    </row>
    <row r="51" spans="1:18">
      <c r="A51" s="73"/>
      <c r="B51" s="85">
        <v>9.8000000000000007</v>
      </c>
      <c r="C51" s="83">
        <v>16</v>
      </c>
      <c r="D51" s="83">
        <f t="shared" si="4"/>
        <v>44.5</v>
      </c>
      <c r="E51" s="83">
        <f t="shared" si="5"/>
        <v>44.5</v>
      </c>
      <c r="F51" s="83"/>
      <c r="G51" s="84">
        <f t="shared" si="6"/>
        <v>112.14</v>
      </c>
      <c r="H51" s="83">
        <v>89</v>
      </c>
      <c r="I51" s="83">
        <v>89</v>
      </c>
      <c r="J51" s="83">
        <f t="shared" si="7"/>
        <v>20</v>
      </c>
      <c r="K51" s="77"/>
      <c r="L51" s="77"/>
      <c r="M51" s="77"/>
      <c r="N51" s="77"/>
      <c r="O51" s="77"/>
      <c r="P51" s="77"/>
      <c r="Q51" s="77"/>
      <c r="R51" s="77"/>
    </row>
    <row r="52" spans="1:18">
      <c r="A52" s="73"/>
      <c r="B52" s="85">
        <v>9.8249999999999993</v>
      </c>
      <c r="C52" s="83">
        <v>13</v>
      </c>
      <c r="D52" s="83">
        <f t="shared" si="4"/>
        <v>33</v>
      </c>
      <c r="E52" s="83">
        <f t="shared" si="5"/>
        <v>33</v>
      </c>
      <c r="F52" s="83"/>
      <c r="G52" s="84">
        <f t="shared" si="6"/>
        <v>83.16</v>
      </c>
      <c r="H52" s="83">
        <v>66</v>
      </c>
      <c r="I52" s="83">
        <v>66</v>
      </c>
      <c r="J52" s="83">
        <f t="shared" si="7"/>
        <v>20</v>
      </c>
      <c r="K52" s="77"/>
      <c r="L52" s="77"/>
      <c r="M52" s="77"/>
      <c r="N52" s="77"/>
      <c r="O52" s="77"/>
      <c r="P52" s="77"/>
      <c r="Q52" s="77"/>
      <c r="R52" s="77"/>
    </row>
    <row r="53" spans="1:18">
      <c r="A53" s="73"/>
      <c r="B53" s="85">
        <v>9.8870000000000005</v>
      </c>
      <c r="C53" s="83">
        <v>13</v>
      </c>
      <c r="D53" s="83">
        <f t="shared" si="4"/>
        <v>33</v>
      </c>
      <c r="E53" s="83">
        <f t="shared" si="5"/>
        <v>33</v>
      </c>
      <c r="F53" s="83"/>
      <c r="G53" s="84">
        <f t="shared" si="6"/>
        <v>83.16</v>
      </c>
      <c r="H53" s="83">
        <v>66</v>
      </c>
      <c r="I53" s="83">
        <v>66</v>
      </c>
      <c r="J53" s="83">
        <f t="shared" si="7"/>
        <v>20</v>
      </c>
      <c r="K53" s="77"/>
      <c r="L53" s="77"/>
      <c r="M53" s="77"/>
      <c r="N53" s="77"/>
      <c r="O53" s="77"/>
      <c r="P53" s="77"/>
      <c r="Q53" s="77"/>
      <c r="R53" s="77"/>
    </row>
    <row r="54" spans="1:18">
      <c r="A54" s="73"/>
      <c r="B54" s="85">
        <v>9.9190000000000005</v>
      </c>
      <c r="C54" s="83">
        <v>13</v>
      </c>
      <c r="D54" s="83">
        <f t="shared" si="4"/>
        <v>33</v>
      </c>
      <c r="E54" s="83">
        <f t="shared" si="5"/>
        <v>33</v>
      </c>
      <c r="F54" s="83"/>
      <c r="G54" s="84">
        <f t="shared" si="6"/>
        <v>83.16</v>
      </c>
      <c r="H54" s="83">
        <v>66</v>
      </c>
      <c r="I54" s="83">
        <v>66</v>
      </c>
      <c r="J54" s="83">
        <f t="shared" si="7"/>
        <v>20</v>
      </c>
      <c r="K54" s="77"/>
      <c r="L54" s="77"/>
      <c r="M54" s="77"/>
      <c r="N54" s="77"/>
      <c r="O54" s="77"/>
      <c r="P54" s="77"/>
      <c r="Q54" s="77"/>
      <c r="R54" s="77"/>
    </row>
    <row r="55" spans="1:18">
      <c r="A55" s="73"/>
      <c r="B55" s="85">
        <v>9.9459999999999997</v>
      </c>
      <c r="C55" s="83">
        <v>13</v>
      </c>
      <c r="D55" s="83">
        <f t="shared" si="4"/>
        <v>33</v>
      </c>
      <c r="E55" s="83">
        <f t="shared" si="5"/>
        <v>33</v>
      </c>
      <c r="F55" s="83"/>
      <c r="G55" s="84">
        <f t="shared" si="6"/>
        <v>83.16</v>
      </c>
      <c r="H55" s="83">
        <v>66</v>
      </c>
      <c r="I55" s="83">
        <v>66</v>
      </c>
      <c r="J55" s="83">
        <f t="shared" si="7"/>
        <v>20</v>
      </c>
      <c r="K55" s="77"/>
      <c r="L55" s="77"/>
      <c r="M55" s="77"/>
      <c r="N55" s="77"/>
      <c r="O55" s="77"/>
      <c r="P55" s="77"/>
      <c r="Q55" s="77"/>
      <c r="R55" s="77"/>
    </row>
    <row r="56" spans="1:18">
      <c r="A56" s="73"/>
      <c r="B56" s="85">
        <v>10.023</v>
      </c>
      <c r="C56" s="83">
        <v>13</v>
      </c>
      <c r="D56" s="83">
        <f t="shared" si="4"/>
        <v>33</v>
      </c>
      <c r="E56" s="83">
        <f t="shared" si="5"/>
        <v>33</v>
      </c>
      <c r="F56" s="83"/>
      <c r="G56" s="84">
        <f t="shared" si="6"/>
        <v>83.16</v>
      </c>
      <c r="H56" s="83">
        <v>66</v>
      </c>
      <c r="I56" s="83">
        <v>66</v>
      </c>
      <c r="J56" s="83">
        <f t="shared" si="7"/>
        <v>20</v>
      </c>
      <c r="K56" s="77"/>
      <c r="L56" s="77"/>
      <c r="M56" s="77"/>
      <c r="N56" s="77"/>
      <c r="O56" s="77"/>
      <c r="P56" s="77"/>
      <c r="Q56" s="77"/>
      <c r="R56" s="77"/>
    </row>
    <row r="57" spans="1:18">
      <c r="A57" s="73"/>
      <c r="B57" s="49" t="s">
        <v>75</v>
      </c>
      <c r="C57" s="79"/>
      <c r="D57" s="80">
        <f t="shared" ref="D57:R57" si="8">SUM(D5:D56)</f>
        <v>2156</v>
      </c>
      <c r="E57" s="80">
        <f t="shared" si="8"/>
        <v>2156</v>
      </c>
      <c r="F57" s="80">
        <f t="shared" si="8"/>
        <v>187.20000000000002</v>
      </c>
      <c r="G57" s="81">
        <f t="shared" si="8"/>
        <v>5433.12</v>
      </c>
      <c r="H57" s="80">
        <f t="shared" si="8"/>
        <v>4312</v>
      </c>
      <c r="I57" s="80">
        <f t="shared" si="8"/>
        <v>4312</v>
      </c>
      <c r="J57" s="80">
        <f t="shared" si="8"/>
        <v>1040</v>
      </c>
      <c r="K57" s="80">
        <f t="shared" si="8"/>
        <v>122.4</v>
      </c>
      <c r="L57" s="80">
        <f t="shared" si="8"/>
        <v>122.4</v>
      </c>
      <c r="M57" s="80">
        <f t="shared" si="8"/>
        <v>33.75</v>
      </c>
      <c r="N57" s="80">
        <f t="shared" si="8"/>
        <v>57.599999999999994</v>
      </c>
      <c r="O57" s="80">
        <f t="shared" si="8"/>
        <v>21.599999999999998</v>
      </c>
      <c r="P57" s="80">
        <f t="shared" si="8"/>
        <v>115.19999999999999</v>
      </c>
      <c r="Q57" s="80">
        <f t="shared" si="8"/>
        <v>136.80000000000001</v>
      </c>
      <c r="R57" s="80">
        <f t="shared" si="8"/>
        <v>122.39999999999998</v>
      </c>
    </row>
  </sheetData>
  <mergeCells count="2">
    <mergeCell ref="B1:R1"/>
    <mergeCell ref="B3:R3"/>
  </mergeCells>
  <pageMargins left="0.78749999999999998" right="0.78749999999999998" top="1.0249999999999999" bottom="1.0249999999999999" header="0.78749999999999998" footer="0.78749999999999998"/>
  <pageSetup paperSize="9" orientation="landscape" r:id="rId1"/>
  <headerFooter>
    <oddHeader>&amp;C&amp;A</oddHeader>
    <oddFooter>&amp;CStránka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zdi</vt:lpstr>
      <vt:lpstr>podelne_opevneni</vt:lpstr>
      <vt:lpstr>pricne_objekty</vt:lpstr>
      <vt:lpstr>List5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Doležel</cp:lastModifiedBy>
  <cp:revision>362</cp:revision>
  <cp:lastPrinted>2021-12-20T13:05:28Z</cp:lastPrinted>
  <dcterms:created xsi:type="dcterms:W3CDTF">2020-05-11T07:38:44Z</dcterms:created>
  <dcterms:modified xsi:type="dcterms:W3CDTF">2021-12-20T13:07:11Z</dcterms:modified>
  <dc:language>cs-CZ</dc:language>
</cp:coreProperties>
</file>