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ecogroup.sharepoint.com/sites/Gr_VVCModernizacedcchsystm-PVL/Shared Documents/E_Cena/"/>
    </mc:Choice>
  </mc:AlternateContent>
  <xr:revisionPtr revIDLastSave="71" documentId="8_{6AF7E387-D958-4508-A8BE-1A2C64686A19}" xr6:coauthVersionLast="47" xr6:coauthVersionMax="47" xr10:uidLastSave="{5766FA23-5B46-453F-9E42-6C4E150460D6}"/>
  <bookViews>
    <workbookView xWindow="28680" yWindow="-120" windowWidth="29040" windowHeight="17790" tabRatio="848" xr2:uid="{E3C9FBC9-B584-4A74-9CBB-4D6DE45A6BC9}"/>
  </bookViews>
  <sheets>
    <sheet name="SOUHRN A KONSTANTY" sheetId="25" r:id="rId1"/>
    <sheet name="GEN" sheetId="17" r:id="rId2"/>
    <sheet name="VLT01" sheetId="40" r:id="rId3"/>
    <sheet name="VLT02" sheetId="14" r:id="rId4"/>
    <sheet name="VLT03" sheetId="13" r:id="rId5"/>
    <sheet name="VLT04" sheetId="12" r:id="rId6"/>
    <sheet name="VLT05" sheetId="11" r:id="rId7"/>
    <sheet name="VLT06" sheetId="20" r:id="rId8"/>
    <sheet name="VLT07" sheetId="9" r:id="rId9"/>
    <sheet name="VLT08" sheetId="8" r:id="rId10"/>
    <sheet name="VLT09" sheetId="7" r:id="rId11"/>
    <sheet name="VLT10" sheetId="3" r:id="rId12"/>
    <sheet name="VLT11" sheetId="6" r:id="rId13"/>
    <sheet name="VLTxx_new_240103 (2)" sheetId="18" state="hidden" r:id="rId14"/>
    <sheet name="VLTxx_new_240109" sheetId="16" state="hidden" r:id="rId15"/>
    <sheet name="VLTxx_new_240119" sheetId="21" state="hidden" r:id="rId16"/>
    <sheet name="VLT10_pilot" sheetId="2" state="hidden" r:id="rId17"/>
  </sheets>
  <definedNames>
    <definedName name="_xlnm._FilterDatabase" localSheetId="2" hidden="1">'VLT01'!$B$2:$N$2</definedName>
    <definedName name="_xlnm._FilterDatabase" localSheetId="3" hidden="1">'VLT02'!$B$2:$Q$2</definedName>
    <definedName name="_xlnm._FilterDatabase" localSheetId="4" hidden="1">'VLT03'!$B$2:$P$2</definedName>
    <definedName name="_xlnm._FilterDatabase" localSheetId="5" hidden="1">'VLT04'!$B$2:$M$2</definedName>
    <definedName name="_xlnm._FilterDatabase" localSheetId="6" hidden="1">'VLT05'!$B$2:$Q$2</definedName>
    <definedName name="_xlnm._FilterDatabase" localSheetId="7" hidden="1">'VLT06'!$B$2:$M$2</definedName>
    <definedName name="_xlnm._FilterDatabase" localSheetId="8" hidden="1">'VLT07'!$B$2:$M$2</definedName>
    <definedName name="_xlnm._FilterDatabase" localSheetId="9" hidden="1">'VLT08'!$B$2:$M$2</definedName>
    <definedName name="_xlnm._FilterDatabase" localSheetId="10" hidden="1">'VLT09'!$A$2:$Q$2</definedName>
    <definedName name="_xlnm._FilterDatabase" localSheetId="11" hidden="1">'VLT10'!$B$2:$Q$2</definedName>
    <definedName name="_xlnm._FilterDatabase" localSheetId="12" hidden="1">'VLT11'!$B$2:$Q$2</definedName>
    <definedName name="_xlnm._FilterDatabase" localSheetId="13" hidden="1">'VLTxx_new_240103 (2)'!$A$2:$Y$2</definedName>
    <definedName name="_xlnm._FilterDatabase" localSheetId="14" hidden="1">VLTxx_new_240109!$B$2:$O$2</definedName>
    <definedName name="_xlnm._FilterDatabase" localSheetId="15" hidden="1">VLTxx_new_240119!$B$2:$O$2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" i="6" l="1"/>
  <c r="P24" i="3"/>
  <c r="P38" i="12"/>
  <c r="P31" i="12"/>
  <c r="P38" i="14"/>
  <c r="P31" i="14"/>
  <c r="J14" i="25" l="1"/>
  <c r="J13" i="25"/>
  <c r="J12" i="25"/>
  <c r="J11" i="25"/>
  <c r="J10" i="25"/>
  <c r="J9" i="25"/>
  <c r="J8" i="25"/>
  <c r="J16" i="25" s="1"/>
  <c r="J7" i="25"/>
  <c r="J6" i="25"/>
  <c r="J5" i="25"/>
  <c r="J4" i="25"/>
  <c r="H3" i="11" l="1"/>
  <c r="L3" i="11" s="1"/>
  <c r="K25" i="14" l="1"/>
  <c r="J25" i="14"/>
  <c r="I25" i="14"/>
  <c r="L25" i="14" s="1"/>
  <c r="P25" i="14" s="1"/>
  <c r="D25" i="14"/>
  <c r="K25" i="13"/>
  <c r="J25" i="13"/>
  <c r="I25" i="13"/>
  <c r="D25" i="13"/>
  <c r="L25" i="12"/>
  <c r="P25" i="12" s="1"/>
  <c r="K25" i="12"/>
  <c r="J25" i="12"/>
  <c r="I25" i="12"/>
  <c r="D25" i="12"/>
  <c r="L25" i="11"/>
  <c r="P25" i="11" s="1"/>
  <c r="K25" i="11"/>
  <c r="J25" i="11"/>
  <c r="I25" i="11"/>
  <c r="D25" i="11"/>
  <c r="K25" i="20"/>
  <c r="J25" i="20"/>
  <c r="I25" i="20"/>
  <c r="D25" i="20"/>
  <c r="P25" i="9"/>
  <c r="K25" i="9"/>
  <c r="J25" i="9"/>
  <c r="I25" i="9"/>
  <c r="D25" i="9"/>
  <c r="P25" i="8"/>
  <c r="K25" i="8"/>
  <c r="J25" i="8"/>
  <c r="I25" i="8"/>
  <c r="D25" i="8"/>
  <c r="L25" i="7"/>
  <c r="P25" i="7" s="1"/>
  <c r="K25" i="7"/>
  <c r="J25" i="7"/>
  <c r="I25" i="7"/>
  <c r="D25" i="7"/>
  <c r="P25" i="3"/>
  <c r="K25" i="3"/>
  <c r="J25" i="3"/>
  <c r="I25" i="3"/>
  <c r="D25" i="3"/>
  <c r="L25" i="6"/>
  <c r="P25" i="6" s="1"/>
  <c r="K25" i="6"/>
  <c r="J25" i="6"/>
  <c r="I25" i="6"/>
  <c r="D25" i="6"/>
  <c r="K25" i="40"/>
  <c r="J25" i="40"/>
  <c r="I25" i="40"/>
  <c r="D25" i="40"/>
  <c r="L25" i="13" l="1"/>
  <c r="P25" i="13" s="1"/>
  <c r="L25" i="20"/>
  <c r="P25" i="20" s="1"/>
  <c r="L25" i="40"/>
  <c r="P25" i="40" s="1"/>
  <c r="P70" i="14" l="1"/>
  <c r="P70" i="13"/>
  <c r="P70" i="12"/>
  <c r="P70" i="11"/>
  <c r="P70" i="20"/>
  <c r="P70" i="9"/>
  <c r="P70" i="8"/>
  <c r="P70" i="7"/>
  <c r="P70" i="3"/>
  <c r="P70" i="6"/>
  <c r="P70" i="40"/>
  <c r="P87" i="14"/>
  <c r="P87" i="13"/>
  <c r="P87" i="12"/>
  <c r="P87" i="11"/>
  <c r="P87" i="20"/>
  <c r="P87" i="9"/>
  <c r="P87" i="8"/>
  <c r="P87" i="7"/>
  <c r="P87" i="3"/>
  <c r="P87" i="6"/>
  <c r="P87" i="40"/>
  <c r="P100" i="40"/>
  <c r="M88" i="40"/>
  <c r="M42" i="40"/>
  <c r="M26" i="40"/>
  <c r="C15" i="25"/>
  <c r="H3" i="6" l="1"/>
  <c r="L3" i="6" s="1"/>
  <c r="H4" i="6"/>
  <c r="I4" i="6"/>
  <c r="J4" i="6"/>
  <c r="K4" i="6"/>
  <c r="H5" i="6"/>
  <c r="I5" i="6"/>
  <c r="J5" i="6"/>
  <c r="K5" i="6"/>
  <c r="L5" i="6"/>
  <c r="I6" i="6"/>
  <c r="J6" i="6"/>
  <c r="K6" i="6"/>
  <c r="H7" i="6"/>
  <c r="I7" i="6"/>
  <c r="J7" i="6"/>
  <c r="K7" i="6"/>
  <c r="I8" i="6"/>
  <c r="J8" i="6"/>
  <c r="K8" i="6"/>
  <c r="L8" i="6"/>
  <c r="H9" i="6"/>
  <c r="I9" i="6"/>
  <c r="J9" i="6"/>
  <c r="K9" i="6"/>
  <c r="L9" i="6"/>
  <c r="H10" i="6"/>
  <c r="I10" i="6"/>
  <c r="J10" i="6"/>
  <c r="K10" i="6"/>
  <c r="L10" i="6"/>
  <c r="H11" i="6"/>
  <c r="I11" i="6"/>
  <c r="J11" i="6"/>
  <c r="H12" i="6"/>
  <c r="I12" i="6"/>
  <c r="J12" i="6"/>
  <c r="K12" i="6"/>
  <c r="L12" i="6"/>
  <c r="H13" i="6"/>
  <c r="I13" i="6"/>
  <c r="J13" i="6"/>
  <c r="K13" i="6"/>
  <c r="L13" i="6"/>
  <c r="H14" i="6"/>
  <c r="I14" i="6"/>
  <c r="J14" i="6"/>
  <c r="K14" i="6"/>
  <c r="L14" i="6"/>
  <c r="H15" i="6"/>
  <c r="I15" i="6"/>
  <c r="J15" i="6"/>
  <c r="K15" i="6"/>
  <c r="L15" i="6"/>
  <c r="H16" i="6"/>
  <c r="I16" i="6"/>
  <c r="J16" i="6"/>
  <c r="K16" i="6"/>
  <c r="L16" i="6"/>
  <c r="H17" i="6"/>
  <c r="I17" i="6"/>
  <c r="J17" i="6"/>
  <c r="K17" i="6"/>
  <c r="L17" i="6"/>
  <c r="H18" i="6"/>
  <c r="I18" i="6"/>
  <c r="J18" i="6"/>
  <c r="K18" i="6"/>
  <c r="L18" i="6"/>
  <c r="H19" i="6"/>
  <c r="I19" i="6"/>
  <c r="L19" i="6"/>
  <c r="I20" i="6"/>
  <c r="J20" i="6"/>
  <c r="K20" i="6"/>
  <c r="H21" i="6"/>
  <c r="I21" i="6"/>
  <c r="J21" i="6"/>
  <c r="K21" i="6"/>
  <c r="L21" i="6"/>
  <c r="H22" i="6"/>
  <c r="I22" i="6"/>
  <c r="J22" i="6"/>
  <c r="K22" i="6"/>
  <c r="H23" i="6"/>
  <c r="I23" i="6"/>
  <c r="J23" i="6"/>
  <c r="K23" i="6"/>
  <c r="H29" i="6"/>
  <c r="I29" i="6"/>
  <c r="J29" i="6"/>
  <c r="K29" i="6"/>
  <c r="L29" i="6"/>
  <c r="H30" i="6"/>
  <c r="I30" i="6"/>
  <c r="J30" i="6"/>
  <c r="K30" i="6"/>
  <c r="L30" i="6"/>
  <c r="H31" i="6"/>
  <c r="I31" i="6"/>
  <c r="J31" i="6"/>
  <c r="K31" i="6"/>
  <c r="L31" i="6"/>
  <c r="H32" i="6"/>
  <c r="I32" i="6"/>
  <c r="J32" i="6"/>
  <c r="K32" i="6"/>
  <c r="L32" i="6"/>
  <c r="H33" i="6"/>
  <c r="I33" i="6"/>
  <c r="J33" i="6"/>
  <c r="K33" i="6"/>
  <c r="L33" i="6"/>
  <c r="H34" i="6"/>
  <c r="I34" i="6"/>
  <c r="J34" i="6"/>
  <c r="K34" i="6"/>
  <c r="L34" i="6"/>
  <c r="H35" i="6"/>
  <c r="I35" i="6"/>
  <c r="J35" i="6"/>
  <c r="K35" i="6"/>
  <c r="L35" i="6"/>
  <c r="H36" i="6"/>
  <c r="I36" i="6"/>
  <c r="J36" i="6"/>
  <c r="K36" i="6"/>
  <c r="L36" i="6"/>
  <c r="H37" i="6"/>
  <c r="I37" i="6"/>
  <c r="J37" i="6"/>
  <c r="K37" i="6"/>
  <c r="L37" i="6"/>
  <c r="H38" i="6"/>
  <c r="I38" i="6"/>
  <c r="J38" i="6"/>
  <c r="K38" i="6"/>
  <c r="L38" i="6"/>
  <c r="H39" i="6"/>
  <c r="I39" i="6"/>
  <c r="J39" i="6"/>
  <c r="K39" i="6"/>
  <c r="L39" i="6"/>
  <c r="H40" i="6"/>
  <c r="I40" i="6"/>
  <c r="J40" i="6"/>
  <c r="K40" i="6"/>
  <c r="L40" i="6"/>
  <c r="H41" i="6"/>
  <c r="I41" i="6"/>
  <c r="J41" i="6"/>
  <c r="K41" i="6"/>
  <c r="L41" i="6"/>
  <c r="H45" i="6"/>
  <c r="I45" i="6"/>
  <c r="K45" i="6"/>
  <c r="H46" i="6"/>
  <c r="K46" i="6"/>
  <c r="H47" i="6"/>
  <c r="I47" i="6"/>
  <c r="K47" i="6"/>
  <c r="H48" i="6"/>
  <c r="I48" i="6"/>
  <c r="K48" i="6"/>
  <c r="J49" i="6"/>
  <c r="K49" i="6"/>
  <c r="J50" i="6"/>
  <c r="K50" i="6"/>
  <c r="H51" i="6"/>
  <c r="I51" i="6"/>
  <c r="K51" i="6"/>
  <c r="H52" i="6"/>
  <c r="I52" i="6"/>
  <c r="J52" i="6"/>
  <c r="K52" i="6"/>
  <c r="L52" i="6"/>
  <c r="H53" i="6"/>
  <c r="I53" i="6"/>
  <c r="J53" i="6"/>
  <c r="K53" i="6"/>
  <c r="H54" i="6"/>
  <c r="I54" i="6"/>
  <c r="J54" i="6"/>
  <c r="K54" i="6"/>
  <c r="J55" i="6"/>
  <c r="K55" i="6"/>
  <c r="J56" i="6"/>
  <c r="L56" i="6" s="1"/>
  <c r="H57" i="6"/>
  <c r="I57" i="6"/>
  <c r="J57" i="6"/>
  <c r="K57" i="6"/>
  <c r="H58" i="6"/>
  <c r="J58" i="6"/>
  <c r="K58" i="6"/>
  <c r="H59" i="6"/>
  <c r="I59" i="6"/>
  <c r="J59" i="6"/>
  <c r="K59" i="6"/>
  <c r="L59" i="6"/>
  <c r="H60" i="6"/>
  <c r="K60" i="6"/>
  <c r="H61" i="6"/>
  <c r="I61" i="6"/>
  <c r="K61" i="6"/>
  <c r="H62" i="6"/>
  <c r="I62" i="6"/>
  <c r="K62" i="6"/>
  <c r="H63" i="6"/>
  <c r="I63" i="6"/>
  <c r="J63" i="6"/>
  <c r="K63" i="6"/>
  <c r="H64" i="6"/>
  <c r="I64" i="6"/>
  <c r="J64" i="6"/>
  <c r="K64" i="6"/>
  <c r="H65" i="6"/>
  <c r="I65" i="6"/>
  <c r="K65" i="6"/>
  <c r="H67" i="6"/>
  <c r="I67" i="6"/>
  <c r="K67" i="6"/>
  <c r="L68" i="6"/>
  <c r="H71" i="6"/>
  <c r="I71" i="6"/>
  <c r="J71" i="6"/>
  <c r="K71" i="6"/>
  <c r="H72" i="6"/>
  <c r="I72" i="6"/>
  <c r="J72" i="6"/>
  <c r="K72" i="6"/>
  <c r="H73" i="6"/>
  <c r="I73" i="6"/>
  <c r="J73" i="6"/>
  <c r="K73" i="6"/>
  <c r="H74" i="6"/>
  <c r="I74" i="6"/>
  <c r="J74" i="6"/>
  <c r="K74" i="6"/>
  <c r="H75" i="6"/>
  <c r="I75" i="6"/>
  <c r="J75" i="6"/>
  <c r="K75" i="6"/>
  <c r="H76" i="6"/>
  <c r="I76" i="6"/>
  <c r="J76" i="6"/>
  <c r="K76" i="6"/>
  <c r="H77" i="6"/>
  <c r="I77" i="6"/>
  <c r="J77" i="6"/>
  <c r="K77" i="6"/>
  <c r="H78" i="6"/>
  <c r="I78" i="6"/>
  <c r="J78" i="6"/>
  <c r="K78" i="6"/>
  <c r="H79" i="6"/>
  <c r="I79" i="6"/>
  <c r="J79" i="6"/>
  <c r="K79" i="6"/>
  <c r="P96" i="40"/>
  <c r="I4" i="25" s="1"/>
  <c r="Q88" i="40"/>
  <c r="K88" i="40"/>
  <c r="J88" i="40"/>
  <c r="I88" i="40"/>
  <c r="H88" i="40"/>
  <c r="P86" i="40"/>
  <c r="K86" i="40"/>
  <c r="J86" i="40"/>
  <c r="I86" i="40"/>
  <c r="H86" i="40"/>
  <c r="P85" i="40"/>
  <c r="K85" i="40"/>
  <c r="J85" i="40"/>
  <c r="I85" i="40"/>
  <c r="H85" i="40"/>
  <c r="P84" i="40"/>
  <c r="K84" i="40"/>
  <c r="J84" i="40"/>
  <c r="I84" i="40"/>
  <c r="H84" i="40"/>
  <c r="P83" i="40"/>
  <c r="K83" i="40"/>
  <c r="J83" i="40"/>
  <c r="I83" i="40"/>
  <c r="H83" i="40"/>
  <c r="L82" i="40"/>
  <c r="P82" i="40" s="1"/>
  <c r="K82" i="40"/>
  <c r="J82" i="40"/>
  <c r="I82" i="40"/>
  <c r="H82" i="40"/>
  <c r="P81" i="40"/>
  <c r="K81" i="40"/>
  <c r="J81" i="40"/>
  <c r="I81" i="40"/>
  <c r="H81" i="40"/>
  <c r="P80" i="40"/>
  <c r="K80" i="40"/>
  <c r="J80" i="40"/>
  <c r="I80" i="40"/>
  <c r="H80" i="40"/>
  <c r="P79" i="40"/>
  <c r="P78" i="40"/>
  <c r="K77" i="40"/>
  <c r="J77" i="40"/>
  <c r="I77" i="40"/>
  <c r="P76" i="40"/>
  <c r="P75" i="40"/>
  <c r="P74" i="40"/>
  <c r="K74" i="40"/>
  <c r="J74" i="40"/>
  <c r="I74" i="40"/>
  <c r="H74" i="40"/>
  <c r="P73" i="40"/>
  <c r="K73" i="40"/>
  <c r="J73" i="40"/>
  <c r="I73" i="40"/>
  <c r="H73" i="40"/>
  <c r="K72" i="40"/>
  <c r="J72" i="40"/>
  <c r="I72" i="40"/>
  <c r="P71" i="40"/>
  <c r="K71" i="40"/>
  <c r="J71" i="40"/>
  <c r="I71" i="40"/>
  <c r="H71" i="40"/>
  <c r="P69" i="40"/>
  <c r="L68" i="40"/>
  <c r="P68" i="40" s="1"/>
  <c r="P67" i="40"/>
  <c r="P66" i="40"/>
  <c r="J65" i="40"/>
  <c r="I65" i="40"/>
  <c r="H65" i="40"/>
  <c r="P64" i="40"/>
  <c r="K64" i="40"/>
  <c r="J64" i="40"/>
  <c r="I64" i="40"/>
  <c r="H64" i="40"/>
  <c r="P63" i="40"/>
  <c r="K63" i="40"/>
  <c r="J63" i="40"/>
  <c r="I63" i="40"/>
  <c r="H63" i="40"/>
  <c r="K62" i="40"/>
  <c r="I62" i="40"/>
  <c r="H62" i="40"/>
  <c r="K61" i="40"/>
  <c r="I61" i="40"/>
  <c r="H61" i="40"/>
  <c r="K60" i="40"/>
  <c r="I60" i="40"/>
  <c r="H60" i="40"/>
  <c r="K59" i="40"/>
  <c r="J59" i="40"/>
  <c r="I59" i="40"/>
  <c r="K58" i="40"/>
  <c r="J58" i="40"/>
  <c r="I58" i="40"/>
  <c r="P57" i="40"/>
  <c r="K57" i="40"/>
  <c r="J57" i="40"/>
  <c r="I57" i="40"/>
  <c r="H57" i="40"/>
  <c r="K56" i="40"/>
  <c r="J56" i="40"/>
  <c r="I56" i="40"/>
  <c r="J55" i="40"/>
  <c r="I55" i="40"/>
  <c r="P54" i="40"/>
  <c r="K54" i="40"/>
  <c r="J54" i="40"/>
  <c r="I54" i="40"/>
  <c r="H54" i="40"/>
  <c r="P53" i="40"/>
  <c r="K53" i="40"/>
  <c r="J53" i="40"/>
  <c r="I53" i="40"/>
  <c r="H53" i="40"/>
  <c r="J52" i="40"/>
  <c r="I52" i="40"/>
  <c r="H52" i="40"/>
  <c r="K51" i="40"/>
  <c r="I51" i="40"/>
  <c r="H51" i="40"/>
  <c r="K50" i="40"/>
  <c r="J50" i="40"/>
  <c r="I50" i="40"/>
  <c r="K49" i="40"/>
  <c r="J49" i="40"/>
  <c r="I49" i="40"/>
  <c r="K48" i="40"/>
  <c r="I48" i="40"/>
  <c r="H48" i="40"/>
  <c r="K47" i="40"/>
  <c r="I47" i="40"/>
  <c r="H47" i="40"/>
  <c r="K46" i="40"/>
  <c r="I46" i="40"/>
  <c r="H46" i="40"/>
  <c r="K45" i="40"/>
  <c r="I45" i="40"/>
  <c r="H45" i="40"/>
  <c r="Q42" i="40"/>
  <c r="K42" i="40"/>
  <c r="J42" i="40"/>
  <c r="I42" i="40"/>
  <c r="P41" i="40"/>
  <c r="K41" i="40"/>
  <c r="J41" i="40"/>
  <c r="I41" i="40"/>
  <c r="H41" i="40"/>
  <c r="P40" i="40"/>
  <c r="P39" i="40"/>
  <c r="K39" i="40"/>
  <c r="J39" i="40"/>
  <c r="I39" i="40"/>
  <c r="H39" i="40"/>
  <c r="L38" i="40"/>
  <c r="P38" i="40" s="1"/>
  <c r="K38" i="40"/>
  <c r="J38" i="40"/>
  <c r="I38" i="40"/>
  <c r="H38" i="40"/>
  <c r="L37" i="40"/>
  <c r="P37" i="40" s="1"/>
  <c r="K37" i="40"/>
  <c r="J37" i="40"/>
  <c r="I37" i="40"/>
  <c r="P36" i="40"/>
  <c r="K36" i="40"/>
  <c r="J36" i="40"/>
  <c r="I36" i="40"/>
  <c r="H36" i="40"/>
  <c r="K35" i="40"/>
  <c r="J35" i="40"/>
  <c r="I35" i="40"/>
  <c r="K34" i="40"/>
  <c r="J34" i="40"/>
  <c r="I34" i="40"/>
  <c r="L33" i="40"/>
  <c r="P33" i="40" s="1"/>
  <c r="K33" i="40"/>
  <c r="J33" i="40"/>
  <c r="I33" i="40"/>
  <c r="H33" i="40"/>
  <c r="L32" i="40"/>
  <c r="P32" i="40" s="1"/>
  <c r="K32" i="40"/>
  <c r="J32" i="40"/>
  <c r="I32" i="40"/>
  <c r="H32" i="40"/>
  <c r="L31" i="40"/>
  <c r="P31" i="40" s="1"/>
  <c r="K31" i="40"/>
  <c r="J31" i="40"/>
  <c r="I31" i="40"/>
  <c r="H31" i="40"/>
  <c r="L30" i="40"/>
  <c r="P30" i="40" s="1"/>
  <c r="K30" i="40"/>
  <c r="J30" i="40"/>
  <c r="I30" i="40"/>
  <c r="K29" i="40"/>
  <c r="J29" i="40"/>
  <c r="I29" i="40"/>
  <c r="Q26" i="40"/>
  <c r="K26" i="40"/>
  <c r="J26" i="40"/>
  <c r="I26" i="40"/>
  <c r="K23" i="40"/>
  <c r="J23" i="40"/>
  <c r="I23" i="40"/>
  <c r="H23" i="40"/>
  <c r="L22" i="40"/>
  <c r="P22" i="40" s="1"/>
  <c r="K22" i="40"/>
  <c r="J22" i="40"/>
  <c r="I22" i="40"/>
  <c r="H22" i="40"/>
  <c r="L21" i="40"/>
  <c r="P21" i="40" s="1"/>
  <c r="K21" i="40"/>
  <c r="J21" i="40"/>
  <c r="I21" i="40"/>
  <c r="H21" i="40"/>
  <c r="K20" i="40"/>
  <c r="J20" i="40"/>
  <c r="I20" i="40"/>
  <c r="L19" i="40"/>
  <c r="P19" i="40" s="1"/>
  <c r="I19" i="40"/>
  <c r="H19" i="40"/>
  <c r="K18" i="40"/>
  <c r="J18" i="40"/>
  <c r="I18" i="40"/>
  <c r="L17" i="40"/>
  <c r="P17" i="40" s="1"/>
  <c r="K17" i="40"/>
  <c r="J17" i="40"/>
  <c r="I17" i="40"/>
  <c r="H17" i="40"/>
  <c r="L16" i="40"/>
  <c r="P16" i="40" s="1"/>
  <c r="K16" i="40"/>
  <c r="J16" i="40"/>
  <c r="I16" i="40"/>
  <c r="H16" i="40"/>
  <c r="L15" i="40"/>
  <c r="P15" i="40" s="1"/>
  <c r="K15" i="40"/>
  <c r="J15" i="40"/>
  <c r="I15" i="40"/>
  <c r="H15" i="40"/>
  <c r="K14" i="40"/>
  <c r="J14" i="40"/>
  <c r="I14" i="40"/>
  <c r="L13" i="40"/>
  <c r="P13" i="40" s="1"/>
  <c r="K13" i="40"/>
  <c r="J13" i="40"/>
  <c r="I13" i="40"/>
  <c r="H13" i="40"/>
  <c r="L12" i="40"/>
  <c r="P12" i="40" s="1"/>
  <c r="K12" i="40"/>
  <c r="J12" i="40"/>
  <c r="I12" i="40"/>
  <c r="H12" i="40"/>
  <c r="J11" i="40"/>
  <c r="I11" i="40"/>
  <c r="H11" i="40"/>
  <c r="L10" i="40"/>
  <c r="P10" i="40" s="1"/>
  <c r="K10" i="40"/>
  <c r="J10" i="40"/>
  <c r="I10" i="40"/>
  <c r="H10" i="40"/>
  <c r="K9" i="40"/>
  <c r="J9" i="40"/>
  <c r="I9" i="40"/>
  <c r="H9" i="40"/>
  <c r="L8" i="40"/>
  <c r="P8" i="40" s="1"/>
  <c r="K8" i="40"/>
  <c r="J8" i="40"/>
  <c r="I8" i="40"/>
  <c r="K7" i="40"/>
  <c r="J7" i="40"/>
  <c r="I7" i="40"/>
  <c r="H7" i="40"/>
  <c r="K6" i="40"/>
  <c r="I6" i="40"/>
  <c r="J5" i="40"/>
  <c r="I5" i="40"/>
  <c r="K4" i="40"/>
  <c r="J4" i="40"/>
  <c r="I4" i="40"/>
  <c r="H4" i="40"/>
  <c r="K3" i="40"/>
  <c r="H3" i="40"/>
  <c r="L72" i="40" l="1"/>
  <c r="P72" i="40" s="1"/>
  <c r="L6" i="6"/>
  <c r="L4" i="6"/>
  <c r="L61" i="6"/>
  <c r="L47" i="6"/>
  <c r="L5" i="40"/>
  <c r="P5" i="40" s="1"/>
  <c r="P18" i="40"/>
  <c r="L50" i="6"/>
  <c r="L58" i="6"/>
  <c r="L60" i="6"/>
  <c r="L49" i="6"/>
  <c r="L46" i="6"/>
  <c r="L49" i="40"/>
  <c r="P49" i="40" s="1"/>
  <c r="L56" i="40"/>
  <c r="P56" i="40" s="1"/>
  <c r="L61" i="40"/>
  <c r="P61" i="40" s="1"/>
  <c r="L65" i="40"/>
  <c r="P65" i="40" s="1"/>
  <c r="L67" i="6"/>
  <c r="L62" i="6"/>
  <c r="L11" i="6"/>
  <c r="L51" i="6"/>
  <c r="L55" i="6"/>
  <c r="P23" i="40"/>
  <c r="L4" i="40"/>
  <c r="P4" i="40" s="1"/>
  <c r="L7" i="40"/>
  <c r="P7" i="40" s="1"/>
  <c r="L20" i="40"/>
  <c r="P20" i="40" s="1"/>
  <c r="L14" i="40"/>
  <c r="P14" i="40" s="1"/>
  <c r="L58" i="40"/>
  <c r="P58" i="40" s="1"/>
  <c r="L47" i="40"/>
  <c r="P47" i="40" s="1"/>
  <c r="L45" i="40"/>
  <c r="P45" i="40" s="1"/>
  <c r="L59" i="40"/>
  <c r="P59" i="40" s="1"/>
  <c r="L11" i="40"/>
  <c r="P11" i="40" s="1"/>
  <c r="L6" i="40"/>
  <c r="P6" i="40" s="1"/>
  <c r="L77" i="40"/>
  <c r="P77" i="40" s="1"/>
  <c r="L65" i="6"/>
  <c r="L35" i="40"/>
  <c r="P35" i="40" s="1"/>
  <c r="L48" i="40"/>
  <c r="P48" i="40" s="1"/>
  <c r="L50" i="40"/>
  <c r="P50" i="40" s="1"/>
  <c r="L34" i="40"/>
  <c r="P34" i="40" s="1"/>
  <c r="L20" i="6"/>
  <c r="L46" i="40"/>
  <c r="P46" i="40" s="1"/>
  <c r="L45" i="6"/>
  <c r="L9" i="40"/>
  <c r="P9" i="40" s="1"/>
  <c r="L51" i="40"/>
  <c r="P51" i="40" s="1"/>
  <c r="L3" i="40"/>
  <c r="P3" i="40" s="1"/>
  <c r="P29" i="40"/>
  <c r="L55" i="40"/>
  <c r="P55" i="40" s="1"/>
  <c r="L60" i="40"/>
  <c r="P60" i="40" s="1"/>
  <c r="L62" i="40"/>
  <c r="P62" i="40" s="1"/>
  <c r="L48" i="6"/>
  <c r="L52" i="40"/>
  <c r="P52" i="40" s="1"/>
  <c r="L7" i="6"/>
  <c r="P26" i="40" l="1"/>
  <c r="P27" i="40" s="1"/>
  <c r="P88" i="40"/>
  <c r="H4" i="25" s="1"/>
  <c r="P42" i="40"/>
  <c r="P43" i="40"/>
  <c r="E4" i="25" s="1"/>
  <c r="F4" i="25"/>
  <c r="D4" i="25" l="1"/>
  <c r="P89" i="40"/>
  <c r="G4" i="25" s="1"/>
  <c r="C4" i="25"/>
  <c r="P98" i="40" l="1"/>
  <c r="K4" i="25" s="1"/>
  <c r="I26" i="12"/>
  <c r="J26" i="12"/>
  <c r="K26" i="12"/>
  <c r="H42" i="12"/>
  <c r="J42" i="12"/>
  <c r="K42" i="12"/>
  <c r="H88" i="12"/>
  <c r="J88" i="12"/>
  <c r="K88" i="12"/>
  <c r="P102" i="40" l="1"/>
  <c r="L4" i="25" s="1"/>
  <c r="K5" i="12"/>
  <c r="P12" i="11"/>
  <c r="K12" i="11"/>
  <c r="P20" i="9"/>
  <c r="L22" i="17"/>
  <c r="H5" i="17"/>
  <c r="H4" i="17"/>
  <c r="I71" i="11"/>
  <c r="J71" i="11"/>
  <c r="K71" i="11"/>
  <c r="H72" i="11"/>
  <c r="J72" i="11"/>
  <c r="K72" i="11"/>
  <c r="H73" i="11"/>
  <c r="J73" i="11"/>
  <c r="K73" i="11"/>
  <c r="J74" i="11"/>
  <c r="K74" i="11"/>
  <c r="J75" i="11"/>
  <c r="K75" i="11"/>
  <c r="J76" i="11"/>
  <c r="K76" i="11"/>
  <c r="I77" i="11"/>
  <c r="J77" i="11"/>
  <c r="K77" i="11"/>
  <c r="J78" i="11"/>
  <c r="K78" i="11"/>
  <c r="J79" i="11"/>
  <c r="K79" i="11"/>
  <c r="J80" i="11"/>
  <c r="K80" i="11"/>
  <c r="J81" i="11"/>
  <c r="K81" i="11"/>
  <c r="H82" i="11"/>
  <c r="J82" i="11"/>
  <c r="K82" i="11"/>
  <c r="J83" i="11"/>
  <c r="K83" i="11"/>
  <c r="L83" i="11" s="1"/>
  <c r="P83" i="11" s="1"/>
  <c r="H84" i="11"/>
  <c r="I84" i="11"/>
  <c r="J84" i="11"/>
  <c r="K84" i="11"/>
  <c r="H85" i="11"/>
  <c r="I85" i="11"/>
  <c r="J85" i="11"/>
  <c r="K85" i="11"/>
  <c r="H86" i="11"/>
  <c r="I86" i="11"/>
  <c r="J86" i="11"/>
  <c r="K86" i="11"/>
  <c r="I45" i="11"/>
  <c r="J45" i="11"/>
  <c r="K45" i="11"/>
  <c r="J46" i="11"/>
  <c r="K46" i="11"/>
  <c r="J47" i="11"/>
  <c r="L47" i="11" s="1"/>
  <c r="P47" i="11" s="1"/>
  <c r="J48" i="11"/>
  <c r="K48" i="11"/>
  <c r="J49" i="11"/>
  <c r="K49" i="11"/>
  <c r="J50" i="11"/>
  <c r="K50" i="11"/>
  <c r="J51" i="11"/>
  <c r="L51" i="11" s="1"/>
  <c r="P51" i="11" s="1"/>
  <c r="J52" i="11"/>
  <c r="K52" i="11"/>
  <c r="J53" i="11"/>
  <c r="K53" i="11"/>
  <c r="J54" i="11"/>
  <c r="K54" i="11"/>
  <c r="H55" i="11"/>
  <c r="I55" i="11"/>
  <c r="J55" i="11"/>
  <c r="J56" i="11"/>
  <c r="H57" i="11"/>
  <c r="I57" i="11"/>
  <c r="J57" i="11"/>
  <c r="K57" i="11"/>
  <c r="L58" i="11"/>
  <c r="P58" i="11" s="1"/>
  <c r="J59" i="11"/>
  <c r="K59" i="11"/>
  <c r="J60" i="11"/>
  <c r="K60" i="11"/>
  <c r="J61" i="11"/>
  <c r="K61" i="11"/>
  <c r="J62" i="11"/>
  <c r="K62" i="11"/>
  <c r="H63" i="11"/>
  <c r="I63" i="11"/>
  <c r="J63" i="11"/>
  <c r="K63" i="11"/>
  <c r="J64" i="11"/>
  <c r="K64" i="11"/>
  <c r="J65" i="11"/>
  <c r="K65" i="11"/>
  <c r="H67" i="11"/>
  <c r="I67" i="11"/>
  <c r="K67" i="11"/>
  <c r="L68" i="11"/>
  <c r="P68" i="11" s="1"/>
  <c r="P36" i="20"/>
  <c r="P36" i="13"/>
  <c r="P14" i="13"/>
  <c r="H71" i="12"/>
  <c r="I71" i="12"/>
  <c r="J71" i="12"/>
  <c r="K71" i="12"/>
  <c r="J72" i="12"/>
  <c r="K72" i="12"/>
  <c r="J73" i="12"/>
  <c r="K73" i="12"/>
  <c r="I74" i="12"/>
  <c r="J74" i="12"/>
  <c r="K74" i="12"/>
  <c r="H75" i="12"/>
  <c r="I75" i="12"/>
  <c r="J75" i="12"/>
  <c r="K75" i="12"/>
  <c r="H76" i="12"/>
  <c r="I76" i="12"/>
  <c r="J76" i="12"/>
  <c r="K76" i="12"/>
  <c r="I77" i="12"/>
  <c r="J77" i="12"/>
  <c r="K77" i="12"/>
  <c r="J78" i="12"/>
  <c r="K78" i="12"/>
  <c r="J79" i="12"/>
  <c r="K79" i="12"/>
  <c r="J80" i="12"/>
  <c r="K80" i="12"/>
  <c r="J81" i="12"/>
  <c r="K81" i="12"/>
  <c r="H82" i="12"/>
  <c r="J82" i="12"/>
  <c r="K82" i="12"/>
  <c r="J83" i="12"/>
  <c r="K83" i="12"/>
  <c r="H84" i="12"/>
  <c r="I84" i="12"/>
  <c r="J84" i="12"/>
  <c r="K84" i="12"/>
  <c r="H85" i="12"/>
  <c r="I85" i="12"/>
  <c r="J85" i="12"/>
  <c r="K85" i="12"/>
  <c r="H86" i="12"/>
  <c r="I86" i="12"/>
  <c r="J86" i="12"/>
  <c r="K86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H51" i="12"/>
  <c r="I51" i="12"/>
  <c r="K51" i="12"/>
  <c r="I52" i="12"/>
  <c r="J52" i="12"/>
  <c r="K52" i="12"/>
  <c r="J53" i="12"/>
  <c r="K53" i="12"/>
  <c r="J54" i="12"/>
  <c r="K54" i="12"/>
  <c r="I55" i="12"/>
  <c r="J55" i="12"/>
  <c r="J56" i="12"/>
  <c r="H57" i="12"/>
  <c r="I57" i="12"/>
  <c r="J57" i="12"/>
  <c r="K57" i="12"/>
  <c r="J58" i="12"/>
  <c r="J59" i="12"/>
  <c r="K59" i="12"/>
  <c r="J60" i="12"/>
  <c r="K60" i="12"/>
  <c r="H61" i="12"/>
  <c r="I61" i="12"/>
  <c r="K61" i="12"/>
  <c r="H62" i="12"/>
  <c r="I62" i="12"/>
  <c r="K62" i="12"/>
  <c r="H63" i="12"/>
  <c r="I63" i="12"/>
  <c r="J63" i="12"/>
  <c r="K63" i="12"/>
  <c r="H64" i="12"/>
  <c r="I64" i="12"/>
  <c r="K64" i="12"/>
  <c r="H65" i="12"/>
  <c r="I65" i="12"/>
  <c r="K65" i="12"/>
  <c r="H66" i="12"/>
  <c r="I66" i="12"/>
  <c r="J66" i="12"/>
  <c r="K66" i="12"/>
  <c r="H67" i="12"/>
  <c r="I67" i="12"/>
  <c r="K67" i="12"/>
  <c r="L68" i="12"/>
  <c r="L68" i="3"/>
  <c r="P68" i="3" s="1"/>
  <c r="L82" i="7"/>
  <c r="P82" i="7" s="1"/>
  <c r="L68" i="7"/>
  <c r="L58" i="7"/>
  <c r="L82" i="8"/>
  <c r="P82" i="8" s="1"/>
  <c r="L68" i="8"/>
  <c r="P68" i="8" s="1"/>
  <c r="L57" i="8"/>
  <c r="P57" i="8" s="1"/>
  <c r="L68" i="9"/>
  <c r="L76" i="20"/>
  <c r="P76" i="20" s="1"/>
  <c r="L69" i="20"/>
  <c r="P69" i="20" s="1"/>
  <c r="L68" i="20"/>
  <c r="L58" i="20"/>
  <c r="L82" i="13"/>
  <c r="P82" i="13" s="1"/>
  <c r="L68" i="13"/>
  <c r="P68" i="13" s="1"/>
  <c r="L77" i="14"/>
  <c r="P77" i="14" s="1"/>
  <c r="L68" i="14"/>
  <c r="J29" i="20"/>
  <c r="K29" i="20"/>
  <c r="I30" i="20"/>
  <c r="J30" i="20"/>
  <c r="K30" i="20"/>
  <c r="H31" i="20"/>
  <c r="J31" i="20"/>
  <c r="K31" i="20"/>
  <c r="H37" i="20"/>
  <c r="P13" i="3"/>
  <c r="P12" i="3"/>
  <c r="P13" i="7"/>
  <c r="P12" i="8"/>
  <c r="P13" i="9"/>
  <c r="P13" i="13"/>
  <c r="L16" i="20"/>
  <c r="P16" i="20" s="1"/>
  <c r="P85" i="6"/>
  <c r="P84" i="6"/>
  <c r="P83" i="6"/>
  <c r="P82" i="6"/>
  <c r="P81" i="6"/>
  <c r="P80" i="6"/>
  <c r="P79" i="6"/>
  <c r="P78" i="6"/>
  <c r="P77" i="6"/>
  <c r="P76" i="6"/>
  <c r="P75" i="6"/>
  <c r="P74" i="6"/>
  <c r="P73" i="6"/>
  <c r="P72" i="6"/>
  <c r="P71" i="6"/>
  <c r="P66" i="6"/>
  <c r="P64" i="6"/>
  <c r="P63" i="6"/>
  <c r="P57" i="6"/>
  <c r="P54" i="6"/>
  <c r="P53" i="6"/>
  <c r="P23" i="6"/>
  <c r="P86" i="3"/>
  <c r="P85" i="3"/>
  <c r="P84" i="3"/>
  <c r="P82" i="3"/>
  <c r="P81" i="3"/>
  <c r="P80" i="3"/>
  <c r="P79" i="3"/>
  <c r="P78" i="3"/>
  <c r="P77" i="3"/>
  <c r="P76" i="3"/>
  <c r="P75" i="3"/>
  <c r="P74" i="3"/>
  <c r="P73" i="3"/>
  <c r="P72" i="3"/>
  <c r="P71" i="3"/>
  <c r="P66" i="3"/>
  <c r="P64" i="3"/>
  <c r="P63" i="3"/>
  <c r="P57" i="3"/>
  <c r="P54" i="3"/>
  <c r="P53" i="3"/>
  <c r="P23" i="3"/>
  <c r="P86" i="7"/>
  <c r="P85" i="7"/>
  <c r="P84" i="7"/>
  <c r="P83" i="7"/>
  <c r="P81" i="7"/>
  <c r="P80" i="7"/>
  <c r="P79" i="7"/>
  <c r="P78" i="7"/>
  <c r="P76" i="7"/>
  <c r="P75" i="7"/>
  <c r="P74" i="7"/>
  <c r="P73" i="7"/>
  <c r="P72" i="7"/>
  <c r="P71" i="7"/>
  <c r="P69" i="7"/>
  <c r="P67" i="7"/>
  <c r="P66" i="7"/>
  <c r="P65" i="7"/>
  <c r="P63" i="7"/>
  <c r="P54" i="7"/>
  <c r="P53" i="7"/>
  <c r="P41" i="7"/>
  <c r="P40" i="7"/>
  <c r="P34" i="7"/>
  <c r="P31" i="7"/>
  <c r="P30" i="7"/>
  <c r="P29" i="7"/>
  <c r="P23" i="7"/>
  <c r="P86" i="8"/>
  <c r="P85" i="8"/>
  <c r="P84" i="8"/>
  <c r="P83" i="8"/>
  <c r="P81" i="8"/>
  <c r="P80" i="8"/>
  <c r="P79" i="8"/>
  <c r="P78" i="8"/>
  <c r="P76" i="8"/>
  <c r="P75" i="8"/>
  <c r="P73" i="8"/>
  <c r="P69" i="8"/>
  <c r="P66" i="8"/>
  <c r="P63" i="8"/>
  <c r="P54" i="8"/>
  <c r="P53" i="8"/>
  <c r="P52" i="8"/>
  <c r="P47" i="8"/>
  <c r="P45" i="8"/>
  <c r="P40" i="8"/>
  <c r="P23" i="8"/>
  <c r="P11" i="8"/>
  <c r="P86" i="9"/>
  <c r="P84" i="9"/>
  <c r="P83" i="9"/>
  <c r="P81" i="9"/>
  <c r="P80" i="9"/>
  <c r="P79" i="9"/>
  <c r="P78" i="9"/>
  <c r="P76" i="9"/>
  <c r="P75" i="9"/>
  <c r="P74" i="9"/>
  <c r="P73" i="9"/>
  <c r="P71" i="9"/>
  <c r="P69" i="9"/>
  <c r="P66" i="9"/>
  <c r="P65" i="9"/>
  <c r="P64" i="9"/>
  <c r="P63" i="9"/>
  <c r="P57" i="9"/>
  <c r="P54" i="9"/>
  <c r="P53" i="9"/>
  <c r="P23" i="9"/>
  <c r="P22" i="9"/>
  <c r="P52" i="9"/>
  <c r="P41" i="9"/>
  <c r="P40" i="9"/>
  <c r="L16" i="13"/>
  <c r="P16" i="13" s="1"/>
  <c r="P7" i="9"/>
  <c r="P100" i="6"/>
  <c r="P96" i="6"/>
  <c r="I14" i="25" s="1"/>
  <c r="M88" i="6"/>
  <c r="M42" i="6"/>
  <c r="Q42" i="6" s="1"/>
  <c r="M26" i="6"/>
  <c r="P100" i="3"/>
  <c r="P96" i="3"/>
  <c r="I13" i="25" s="1"/>
  <c r="M88" i="3"/>
  <c r="Q88" i="3" s="1"/>
  <c r="M42" i="3"/>
  <c r="Q42" i="3" s="1"/>
  <c r="M26" i="3"/>
  <c r="P100" i="7"/>
  <c r="P96" i="7"/>
  <c r="I12" i="25" s="1"/>
  <c r="M88" i="7"/>
  <c r="Q88" i="7" s="1"/>
  <c r="M42" i="7"/>
  <c r="Q42" i="7" s="1"/>
  <c r="M26" i="7"/>
  <c r="P100" i="8"/>
  <c r="P96" i="8"/>
  <c r="I11" i="25" s="1"/>
  <c r="M88" i="8"/>
  <c r="M42" i="8"/>
  <c r="Q42" i="8" s="1"/>
  <c r="M26" i="8"/>
  <c r="P100" i="9"/>
  <c r="P96" i="9"/>
  <c r="I10" i="25" s="1"/>
  <c r="M88" i="9"/>
  <c r="M42" i="9"/>
  <c r="Q42" i="9" s="1"/>
  <c r="M26" i="9"/>
  <c r="P100" i="20"/>
  <c r="P96" i="20"/>
  <c r="I9" i="25" s="1"/>
  <c r="M88" i="20"/>
  <c r="M42" i="20"/>
  <c r="Q42" i="20" s="1"/>
  <c r="M26" i="20"/>
  <c r="P100" i="11"/>
  <c r="P96" i="11"/>
  <c r="I8" i="25" s="1"/>
  <c r="M88" i="11"/>
  <c r="M42" i="11"/>
  <c r="M26" i="11"/>
  <c r="P100" i="12"/>
  <c r="P96" i="12"/>
  <c r="I7" i="25" s="1"/>
  <c r="M88" i="12"/>
  <c r="Q88" i="12" s="1"/>
  <c r="M42" i="12"/>
  <c r="M26" i="12"/>
  <c r="P100" i="13"/>
  <c r="P96" i="13"/>
  <c r="I6" i="25" s="1"/>
  <c r="M88" i="13"/>
  <c r="M42" i="13"/>
  <c r="M26" i="13"/>
  <c r="P100" i="14"/>
  <c r="M26" i="14"/>
  <c r="M42" i="14"/>
  <c r="Q42" i="14" s="1"/>
  <c r="M88" i="14"/>
  <c r="Q88" i="14" s="1"/>
  <c r="P96" i="14"/>
  <c r="I5" i="25" s="1"/>
  <c r="P85" i="9"/>
  <c r="P72" i="9"/>
  <c r="P6" i="20"/>
  <c r="P5" i="20"/>
  <c r="P12" i="13"/>
  <c r="P86" i="6"/>
  <c r="P69" i="6"/>
  <c r="P83" i="3"/>
  <c r="P69" i="3"/>
  <c r="P22" i="3"/>
  <c r="P64" i="7"/>
  <c r="P57" i="7"/>
  <c r="P22" i="7"/>
  <c r="P41" i="8"/>
  <c r="P86" i="20"/>
  <c r="P85" i="20"/>
  <c r="P84" i="20"/>
  <c r="P73" i="20"/>
  <c r="P72" i="20"/>
  <c r="P71" i="20"/>
  <c r="P66" i="20"/>
  <c r="P57" i="20"/>
  <c r="P54" i="20"/>
  <c r="P53" i="20"/>
  <c r="P41" i="20"/>
  <c r="P40" i="20"/>
  <c r="P23" i="20"/>
  <c r="P22" i="20"/>
  <c r="P14" i="20"/>
  <c r="P12" i="20"/>
  <c r="P69" i="11"/>
  <c r="P63" i="11"/>
  <c r="P57" i="11"/>
  <c r="P40" i="11"/>
  <c r="P10" i="11"/>
  <c r="P3" i="11"/>
  <c r="P75" i="12"/>
  <c r="P71" i="12"/>
  <c r="P69" i="12"/>
  <c r="P63" i="12"/>
  <c r="P57" i="12"/>
  <c r="P52" i="12"/>
  <c r="P41" i="12"/>
  <c r="P40" i="12"/>
  <c r="P21" i="12"/>
  <c r="P3" i="12"/>
  <c r="P86" i="13"/>
  <c r="P85" i="13"/>
  <c r="P84" i="13"/>
  <c r="P81" i="13"/>
  <c r="P80" i="13"/>
  <c r="P79" i="13"/>
  <c r="P78" i="13"/>
  <c r="P77" i="13"/>
  <c r="P76" i="13"/>
  <c r="P75" i="13"/>
  <c r="P74" i="13"/>
  <c r="P73" i="13"/>
  <c r="P72" i="13"/>
  <c r="P71" i="13"/>
  <c r="P69" i="13"/>
  <c r="P66" i="13"/>
  <c r="P64" i="13"/>
  <c r="P63" i="13"/>
  <c r="P57" i="13"/>
  <c r="P54" i="13"/>
  <c r="P53" i="13"/>
  <c r="P41" i="13"/>
  <c r="P40" i="13"/>
  <c r="P23" i="13"/>
  <c r="P22" i="13"/>
  <c r="P22" i="14"/>
  <c r="P23" i="14"/>
  <c r="P40" i="14"/>
  <c r="P41" i="14"/>
  <c r="P45" i="14"/>
  <c r="P53" i="14"/>
  <c r="P54" i="14"/>
  <c r="P57" i="14"/>
  <c r="P63" i="14"/>
  <c r="P64" i="14"/>
  <c r="P66" i="14"/>
  <c r="P69" i="14"/>
  <c r="P71" i="14"/>
  <c r="P74" i="14"/>
  <c r="P75" i="14"/>
  <c r="P76" i="14"/>
  <c r="P78" i="14"/>
  <c r="P79" i="14"/>
  <c r="P80" i="14"/>
  <c r="P81" i="14"/>
  <c r="P84" i="14"/>
  <c r="P85" i="14"/>
  <c r="P86" i="14"/>
  <c r="H3" i="3"/>
  <c r="H4" i="3"/>
  <c r="H7" i="3"/>
  <c r="J19" i="8"/>
  <c r="K19" i="8"/>
  <c r="H5" i="8"/>
  <c r="I5" i="8"/>
  <c r="J5" i="8"/>
  <c r="K5" i="8"/>
  <c r="H8" i="8"/>
  <c r="H11" i="8"/>
  <c r="H3" i="8"/>
  <c r="H6" i="8"/>
  <c r="H36" i="9"/>
  <c r="I4" i="11"/>
  <c r="K5" i="11"/>
  <c r="H5" i="9"/>
  <c r="H11" i="9"/>
  <c r="H7" i="9"/>
  <c r="H39" i="9"/>
  <c r="H8" i="9"/>
  <c r="I4" i="9"/>
  <c r="H36" i="20"/>
  <c r="K5" i="20"/>
  <c r="K3" i="20"/>
  <c r="H3" i="20"/>
  <c r="H6" i="20"/>
  <c r="I4" i="13"/>
  <c r="K19" i="13"/>
  <c r="J19" i="13"/>
  <c r="H3" i="13"/>
  <c r="K3" i="13"/>
  <c r="H5" i="14"/>
  <c r="H6" i="14"/>
  <c r="H7" i="14"/>
  <c r="H8" i="14"/>
  <c r="I11" i="14"/>
  <c r="I4" i="14"/>
  <c r="J4" i="14"/>
  <c r="I38" i="11"/>
  <c r="H39" i="13"/>
  <c r="J38" i="14"/>
  <c r="I38" i="12"/>
  <c r="I4" i="12"/>
  <c r="H84" i="14"/>
  <c r="I84" i="14"/>
  <c r="J84" i="14"/>
  <c r="K84" i="14"/>
  <c r="K3" i="14"/>
  <c r="H36" i="8"/>
  <c r="H37" i="9"/>
  <c r="H37" i="7"/>
  <c r="H36" i="13"/>
  <c r="H7" i="13"/>
  <c r="J7" i="14"/>
  <c r="H8" i="20"/>
  <c r="K10" i="20"/>
  <c r="I4" i="20"/>
  <c r="K11" i="20"/>
  <c r="I5" i="9"/>
  <c r="K5" i="9"/>
  <c r="I4" i="7"/>
  <c r="I6" i="3"/>
  <c r="H3" i="7"/>
  <c r="H82" i="3"/>
  <c r="I82" i="3"/>
  <c r="J82" i="3"/>
  <c r="H83" i="6"/>
  <c r="I83" i="6"/>
  <c r="J83" i="6"/>
  <c r="K83" i="6"/>
  <c r="H6" i="13"/>
  <c r="H3" i="14"/>
  <c r="J3" i="14"/>
  <c r="I38" i="14"/>
  <c r="H38" i="14"/>
  <c r="K38" i="14"/>
  <c r="I38" i="20"/>
  <c r="H38" i="20"/>
  <c r="J38" i="20"/>
  <c r="K38" i="20"/>
  <c r="I38" i="7"/>
  <c r="H16" i="8"/>
  <c r="K3" i="9"/>
  <c r="K8" i="14"/>
  <c r="J8" i="14"/>
  <c r="I8" i="14"/>
  <c r="L8" i="14"/>
  <c r="P8" i="14" s="1"/>
  <c r="K7" i="14"/>
  <c r="L7" i="14"/>
  <c r="P7" i="14" s="1"/>
  <c r="I7" i="14"/>
  <c r="K6" i="14"/>
  <c r="J6" i="14"/>
  <c r="I6" i="14"/>
  <c r="J8" i="13"/>
  <c r="I8" i="13"/>
  <c r="K7" i="13"/>
  <c r="J7" i="13"/>
  <c r="I7" i="13"/>
  <c r="K6" i="13"/>
  <c r="J6" i="13"/>
  <c r="I6" i="13"/>
  <c r="K8" i="12"/>
  <c r="J8" i="12"/>
  <c r="I8" i="12"/>
  <c r="K7" i="12"/>
  <c r="J7" i="12"/>
  <c r="I7" i="12"/>
  <c r="K6" i="12"/>
  <c r="J6" i="12"/>
  <c r="I6" i="12"/>
  <c r="K8" i="11"/>
  <c r="J8" i="11"/>
  <c r="I8" i="11"/>
  <c r="K7" i="11"/>
  <c r="J7" i="11"/>
  <c r="I7" i="11"/>
  <c r="L7" i="11"/>
  <c r="K6" i="11"/>
  <c r="J6" i="11"/>
  <c r="I6" i="11"/>
  <c r="K8" i="20"/>
  <c r="J8" i="20"/>
  <c r="I8" i="20"/>
  <c r="K7" i="20"/>
  <c r="J7" i="20"/>
  <c r="I7" i="20"/>
  <c r="K6" i="20"/>
  <c r="J6" i="20"/>
  <c r="I6" i="20"/>
  <c r="J8" i="9"/>
  <c r="I8" i="9"/>
  <c r="K7" i="9"/>
  <c r="J7" i="9"/>
  <c r="I7" i="9"/>
  <c r="K6" i="9"/>
  <c r="J6" i="9"/>
  <c r="I6" i="9"/>
  <c r="L6" i="9"/>
  <c r="P6" i="9" s="1"/>
  <c r="J8" i="8"/>
  <c r="I8" i="8"/>
  <c r="K7" i="8"/>
  <c r="L7" i="8"/>
  <c r="P7" i="8" s="1"/>
  <c r="J7" i="8"/>
  <c r="I7" i="8"/>
  <c r="K6" i="8"/>
  <c r="I6" i="8"/>
  <c r="K8" i="7"/>
  <c r="J8" i="7"/>
  <c r="I8" i="7"/>
  <c r="L8" i="7"/>
  <c r="P8" i="7" s="1"/>
  <c r="L7" i="7"/>
  <c r="P7" i="7" s="1"/>
  <c r="K7" i="7"/>
  <c r="J7" i="7"/>
  <c r="I7" i="7"/>
  <c r="K6" i="7"/>
  <c r="J6" i="7"/>
  <c r="I6" i="7"/>
  <c r="L6" i="7"/>
  <c r="P6" i="7" s="1"/>
  <c r="K8" i="3"/>
  <c r="J8" i="3"/>
  <c r="I8" i="3"/>
  <c r="K7" i="3"/>
  <c r="J7" i="3"/>
  <c r="I7" i="3"/>
  <c r="K6" i="3"/>
  <c r="J6" i="3"/>
  <c r="L5" i="21"/>
  <c r="K5" i="21"/>
  <c r="J5" i="21"/>
  <c r="M5" i="21"/>
  <c r="N5" i="21"/>
  <c r="L7" i="21"/>
  <c r="K7" i="21"/>
  <c r="J7" i="21"/>
  <c r="L8" i="21"/>
  <c r="K8" i="21"/>
  <c r="J8" i="21"/>
  <c r="L77" i="21"/>
  <c r="K77" i="21"/>
  <c r="J77" i="21"/>
  <c r="I77" i="21"/>
  <c r="L76" i="21"/>
  <c r="K76" i="21"/>
  <c r="J76" i="21"/>
  <c r="I76" i="21"/>
  <c r="L75" i="21"/>
  <c r="K75" i="21"/>
  <c r="J75" i="21"/>
  <c r="I75" i="21"/>
  <c r="L74" i="21"/>
  <c r="K74" i="21"/>
  <c r="J74" i="21"/>
  <c r="I74" i="21"/>
  <c r="L73" i="21"/>
  <c r="K73" i="21"/>
  <c r="J73" i="21"/>
  <c r="I73" i="21"/>
  <c r="M73" i="21"/>
  <c r="L72" i="21"/>
  <c r="K72" i="21"/>
  <c r="J72" i="21"/>
  <c r="I72" i="21"/>
  <c r="L71" i="21"/>
  <c r="K71" i="21"/>
  <c r="J71" i="21"/>
  <c r="I71" i="21"/>
  <c r="M71" i="21"/>
  <c r="N71" i="21"/>
  <c r="L70" i="21"/>
  <c r="K70" i="21"/>
  <c r="J70" i="21"/>
  <c r="I70" i="21"/>
  <c r="L69" i="21"/>
  <c r="K69" i="21"/>
  <c r="J69" i="21"/>
  <c r="I69" i="21"/>
  <c r="M69" i="21"/>
  <c r="N69" i="21"/>
  <c r="L68" i="21"/>
  <c r="K68" i="21"/>
  <c r="J68" i="21"/>
  <c r="I68" i="21"/>
  <c r="L67" i="21"/>
  <c r="K67" i="21"/>
  <c r="J67" i="21"/>
  <c r="I67" i="21"/>
  <c r="L66" i="21"/>
  <c r="K66" i="21"/>
  <c r="J66" i="21"/>
  <c r="I66" i="21"/>
  <c r="L65" i="21"/>
  <c r="K65" i="21"/>
  <c r="J65" i="21"/>
  <c r="I65" i="21"/>
  <c r="L64" i="21"/>
  <c r="K64" i="21"/>
  <c r="J64" i="21"/>
  <c r="I64" i="21"/>
  <c r="L63" i="21"/>
  <c r="K63" i="21"/>
  <c r="J63" i="21"/>
  <c r="I63" i="21"/>
  <c r="L62" i="21"/>
  <c r="K62" i="21"/>
  <c r="J62" i="21"/>
  <c r="I62" i="21"/>
  <c r="M61" i="21"/>
  <c r="M60" i="21"/>
  <c r="L59" i="21"/>
  <c r="K59" i="21"/>
  <c r="J59" i="21"/>
  <c r="I59" i="21"/>
  <c r="L58" i="21"/>
  <c r="K58" i="21"/>
  <c r="J58" i="21"/>
  <c r="I58" i="21"/>
  <c r="L57" i="21"/>
  <c r="K57" i="21"/>
  <c r="J57" i="21"/>
  <c r="I57" i="21"/>
  <c r="L56" i="21"/>
  <c r="K56" i="21"/>
  <c r="J56" i="21"/>
  <c r="I56" i="21"/>
  <c r="L55" i="21"/>
  <c r="K55" i="21"/>
  <c r="J55" i="21"/>
  <c r="I55" i="21"/>
  <c r="L54" i="21"/>
  <c r="K54" i="21"/>
  <c r="J54" i="21"/>
  <c r="I54" i="21"/>
  <c r="L53" i="21"/>
  <c r="K53" i="21"/>
  <c r="J53" i="21"/>
  <c r="I53" i="21"/>
  <c r="L52" i="21"/>
  <c r="K52" i="21"/>
  <c r="J52" i="21"/>
  <c r="I52" i="21"/>
  <c r="L51" i="21"/>
  <c r="K51" i="21"/>
  <c r="J51" i="21"/>
  <c r="I51" i="21"/>
  <c r="L50" i="21"/>
  <c r="K50" i="21"/>
  <c r="J50" i="21"/>
  <c r="I50" i="21"/>
  <c r="L49" i="21"/>
  <c r="K49" i="21"/>
  <c r="J49" i="21"/>
  <c r="I49" i="21"/>
  <c r="L48" i="21"/>
  <c r="K48" i="21"/>
  <c r="J48" i="21"/>
  <c r="I48" i="21"/>
  <c r="L47" i="21"/>
  <c r="K47" i="21"/>
  <c r="J47" i="21"/>
  <c r="I47" i="21"/>
  <c r="L46" i="21"/>
  <c r="K46" i="21"/>
  <c r="J46" i="21"/>
  <c r="I46" i="21"/>
  <c r="L45" i="21"/>
  <c r="K45" i="21"/>
  <c r="J45" i="21"/>
  <c r="I45" i="21"/>
  <c r="L44" i="21"/>
  <c r="K44" i="21"/>
  <c r="J44" i="21"/>
  <c r="I44" i="21"/>
  <c r="L43" i="21"/>
  <c r="K43" i="21"/>
  <c r="J43" i="21"/>
  <c r="I43" i="21"/>
  <c r="L42" i="21"/>
  <c r="K42" i="21"/>
  <c r="J42" i="21"/>
  <c r="I42" i="21"/>
  <c r="L41" i="21"/>
  <c r="K41" i="21"/>
  <c r="J41" i="21"/>
  <c r="I41" i="21"/>
  <c r="L40" i="21"/>
  <c r="K40" i="21"/>
  <c r="J40" i="21"/>
  <c r="I40" i="21"/>
  <c r="L39" i="21"/>
  <c r="K39" i="21"/>
  <c r="J39" i="21"/>
  <c r="I39" i="21"/>
  <c r="L38" i="21"/>
  <c r="K38" i="21"/>
  <c r="J38" i="21"/>
  <c r="I38" i="21"/>
  <c r="L37" i="21"/>
  <c r="K37" i="21"/>
  <c r="J37" i="21"/>
  <c r="I37" i="21"/>
  <c r="L36" i="21"/>
  <c r="K36" i="21"/>
  <c r="J36" i="21"/>
  <c r="I36" i="21"/>
  <c r="L35" i="21"/>
  <c r="K35" i="21"/>
  <c r="J35" i="21"/>
  <c r="I35" i="21"/>
  <c r="L34" i="21"/>
  <c r="K34" i="21"/>
  <c r="J34" i="21"/>
  <c r="I34" i="21"/>
  <c r="L33" i="21"/>
  <c r="K33" i="21"/>
  <c r="J33" i="21"/>
  <c r="I33" i="21"/>
  <c r="L32" i="21"/>
  <c r="K32" i="21"/>
  <c r="J32" i="21"/>
  <c r="I32" i="21"/>
  <c r="L31" i="21"/>
  <c r="K31" i="21"/>
  <c r="J31" i="21"/>
  <c r="I31" i="21"/>
  <c r="L30" i="21"/>
  <c r="K30" i="21"/>
  <c r="J30" i="21"/>
  <c r="I30" i="21"/>
  <c r="L29" i="21"/>
  <c r="K29" i="21"/>
  <c r="J29" i="21"/>
  <c r="I29" i="21"/>
  <c r="L28" i="21"/>
  <c r="K28" i="21"/>
  <c r="J28" i="21"/>
  <c r="I28" i="21"/>
  <c r="L27" i="21"/>
  <c r="K27" i="21"/>
  <c r="J27" i="21"/>
  <c r="I27" i="21"/>
  <c r="L26" i="21"/>
  <c r="K26" i="21"/>
  <c r="J26" i="21"/>
  <c r="I26" i="21"/>
  <c r="L25" i="21"/>
  <c r="K25" i="21"/>
  <c r="J25" i="21"/>
  <c r="I25" i="21"/>
  <c r="L24" i="21"/>
  <c r="K24" i="21"/>
  <c r="J24" i="21"/>
  <c r="I24" i="21"/>
  <c r="L23" i="21"/>
  <c r="K23" i="21"/>
  <c r="J23" i="21"/>
  <c r="I23" i="21"/>
  <c r="L22" i="21"/>
  <c r="K22" i="21"/>
  <c r="J22" i="21"/>
  <c r="I22" i="21"/>
  <c r="L21" i="21"/>
  <c r="K21" i="21"/>
  <c r="J21" i="21"/>
  <c r="I21" i="21"/>
  <c r="L20" i="21"/>
  <c r="K20" i="21"/>
  <c r="J20" i="21"/>
  <c r="I20" i="21"/>
  <c r="J19" i="21"/>
  <c r="I19" i="21"/>
  <c r="M19" i="21"/>
  <c r="N19" i="21"/>
  <c r="L18" i="21"/>
  <c r="K18" i="21"/>
  <c r="J18" i="21"/>
  <c r="I18" i="21"/>
  <c r="L17" i="21"/>
  <c r="K17" i="21"/>
  <c r="J17" i="21"/>
  <c r="I17" i="21"/>
  <c r="L16" i="21"/>
  <c r="K16" i="21"/>
  <c r="J16" i="21"/>
  <c r="I16" i="21"/>
  <c r="L15" i="21"/>
  <c r="K15" i="21"/>
  <c r="J15" i="21"/>
  <c r="I15" i="21"/>
  <c r="L14" i="21"/>
  <c r="K14" i="21"/>
  <c r="J14" i="21"/>
  <c r="I14" i="21"/>
  <c r="L13" i="21"/>
  <c r="K13" i="21"/>
  <c r="J13" i="21"/>
  <c r="I13" i="21"/>
  <c r="L12" i="21"/>
  <c r="K12" i="21"/>
  <c r="J12" i="21"/>
  <c r="I12" i="21"/>
  <c r="L11" i="21"/>
  <c r="K11" i="21"/>
  <c r="J11" i="21"/>
  <c r="I11" i="21"/>
  <c r="L10" i="21"/>
  <c r="K10" i="21"/>
  <c r="J10" i="21"/>
  <c r="I10" i="21"/>
  <c r="L9" i="21"/>
  <c r="K9" i="21"/>
  <c r="J9" i="21"/>
  <c r="I9" i="21"/>
  <c r="L6" i="21"/>
  <c r="K6" i="21"/>
  <c r="J6" i="21"/>
  <c r="L4" i="21"/>
  <c r="K4" i="21"/>
  <c r="J4" i="21"/>
  <c r="I4" i="21"/>
  <c r="K55" i="20"/>
  <c r="K86" i="20"/>
  <c r="J86" i="20"/>
  <c r="I86" i="20"/>
  <c r="H86" i="20"/>
  <c r="K85" i="20"/>
  <c r="J85" i="20"/>
  <c r="I85" i="20"/>
  <c r="H85" i="20"/>
  <c r="K84" i="20"/>
  <c r="J84" i="20"/>
  <c r="I84" i="20"/>
  <c r="H84" i="20"/>
  <c r="K83" i="20"/>
  <c r="J83" i="20"/>
  <c r="K82" i="20"/>
  <c r="J82" i="20"/>
  <c r="H82" i="20"/>
  <c r="K81" i="20"/>
  <c r="J81" i="20"/>
  <c r="K80" i="20"/>
  <c r="J80" i="20"/>
  <c r="K79" i="20"/>
  <c r="J79" i="20"/>
  <c r="K78" i="20"/>
  <c r="J78" i="20"/>
  <c r="K77" i="20"/>
  <c r="J77" i="20"/>
  <c r="K76" i="20"/>
  <c r="J76" i="20"/>
  <c r="I76" i="20"/>
  <c r="H76" i="20"/>
  <c r="K75" i="20"/>
  <c r="J75" i="20"/>
  <c r="K74" i="20"/>
  <c r="J74" i="20"/>
  <c r="K73" i="20"/>
  <c r="J73" i="20"/>
  <c r="K72" i="20"/>
  <c r="J72" i="20"/>
  <c r="K71" i="20"/>
  <c r="J71" i="20"/>
  <c r="P68" i="20"/>
  <c r="K67" i="20"/>
  <c r="L67" i="20" s="1"/>
  <c r="P67" i="20" s="1"/>
  <c r="J65" i="20"/>
  <c r="I65" i="20"/>
  <c r="H65" i="20"/>
  <c r="K64" i="20"/>
  <c r="J64" i="20"/>
  <c r="K63" i="20"/>
  <c r="J63" i="20"/>
  <c r="K62" i="20"/>
  <c r="J62" i="20"/>
  <c r="K61" i="20"/>
  <c r="L61" i="20" s="1"/>
  <c r="P61" i="20" s="1"/>
  <c r="K60" i="20"/>
  <c r="J60" i="20"/>
  <c r="K59" i="20"/>
  <c r="J59" i="20"/>
  <c r="P58" i="20"/>
  <c r="K56" i="20"/>
  <c r="J56" i="20"/>
  <c r="J55" i="20"/>
  <c r="K54" i="20"/>
  <c r="J54" i="20"/>
  <c r="K53" i="20"/>
  <c r="J53" i="20"/>
  <c r="K52" i="20"/>
  <c r="J52" i="20"/>
  <c r="J51" i="20"/>
  <c r="L51" i="20" s="1"/>
  <c r="P51" i="20" s="1"/>
  <c r="K50" i="20"/>
  <c r="J50" i="20"/>
  <c r="K49" i="20"/>
  <c r="J49" i="20"/>
  <c r="K48" i="20"/>
  <c r="J48" i="20"/>
  <c r="K47" i="20"/>
  <c r="J47" i="20"/>
  <c r="K46" i="20"/>
  <c r="J46" i="20"/>
  <c r="K45" i="20"/>
  <c r="J45" i="20"/>
  <c r="K41" i="20"/>
  <c r="J41" i="20"/>
  <c r="I41" i="20"/>
  <c r="H41" i="20"/>
  <c r="K39" i="20"/>
  <c r="J39" i="20"/>
  <c r="I39" i="20"/>
  <c r="K37" i="20"/>
  <c r="J37" i="20"/>
  <c r="I37" i="20"/>
  <c r="K36" i="20"/>
  <c r="J36" i="20"/>
  <c r="I36" i="20"/>
  <c r="K35" i="20"/>
  <c r="J35" i="20"/>
  <c r="I35" i="20"/>
  <c r="K34" i="20"/>
  <c r="J34" i="20"/>
  <c r="I34" i="20"/>
  <c r="L33" i="20"/>
  <c r="P33" i="20" s="1"/>
  <c r="K33" i="20"/>
  <c r="J33" i="20"/>
  <c r="I33" i="20"/>
  <c r="H33" i="20"/>
  <c r="L32" i="20"/>
  <c r="P32" i="20" s="1"/>
  <c r="K32" i="20"/>
  <c r="J32" i="20"/>
  <c r="I32" i="20"/>
  <c r="H32" i="20"/>
  <c r="K23" i="20"/>
  <c r="J23" i="20"/>
  <c r="I23" i="20"/>
  <c r="H23" i="20"/>
  <c r="K22" i="20"/>
  <c r="J22" i="20"/>
  <c r="I22" i="20"/>
  <c r="H22" i="20"/>
  <c r="K21" i="20"/>
  <c r="J21" i="20"/>
  <c r="H21" i="20"/>
  <c r="K20" i="20"/>
  <c r="J20" i="20"/>
  <c r="H20" i="20"/>
  <c r="L19" i="20"/>
  <c r="P19" i="20" s="1"/>
  <c r="I19" i="20"/>
  <c r="H19" i="20"/>
  <c r="K18" i="20"/>
  <c r="J18" i="20"/>
  <c r="H18" i="20"/>
  <c r="K17" i="20"/>
  <c r="J17" i="20"/>
  <c r="I17" i="20"/>
  <c r="K16" i="20"/>
  <c r="J16" i="20"/>
  <c r="I16" i="20"/>
  <c r="L15" i="20"/>
  <c r="P15" i="20" s="1"/>
  <c r="K15" i="20"/>
  <c r="J15" i="20"/>
  <c r="I15" i="20"/>
  <c r="H15" i="20"/>
  <c r="K14" i="20"/>
  <c r="J14" i="20"/>
  <c r="I14" i="20"/>
  <c r="H14" i="20"/>
  <c r="L13" i="20"/>
  <c r="P13" i="20" s="1"/>
  <c r="K13" i="20"/>
  <c r="J13" i="20"/>
  <c r="I13" i="20"/>
  <c r="H13" i="20"/>
  <c r="K12" i="20"/>
  <c r="J12" i="20"/>
  <c r="I12" i="20"/>
  <c r="H12" i="20"/>
  <c r="J11" i="20"/>
  <c r="I11" i="20"/>
  <c r="H11" i="20"/>
  <c r="J10" i="20"/>
  <c r="I10" i="20"/>
  <c r="H10" i="20"/>
  <c r="L9" i="20"/>
  <c r="P9" i="20" s="1"/>
  <c r="K9" i="20"/>
  <c r="J9" i="20"/>
  <c r="I9" i="20"/>
  <c r="H9" i="20"/>
  <c r="J5" i="20"/>
  <c r="I5" i="20"/>
  <c r="K4" i="20"/>
  <c r="J4" i="20"/>
  <c r="H4" i="20"/>
  <c r="P77" i="20"/>
  <c r="L8" i="11"/>
  <c r="P8" i="11" s="1"/>
  <c r="L6" i="11"/>
  <c r="L7" i="20"/>
  <c r="P7" i="20" s="1"/>
  <c r="P39" i="20"/>
  <c r="P37" i="20"/>
  <c r="L6" i="14"/>
  <c r="P6" i="14" s="1"/>
  <c r="L6" i="12"/>
  <c r="L8" i="12"/>
  <c r="L7" i="12"/>
  <c r="M75" i="21"/>
  <c r="N75" i="21"/>
  <c r="M7" i="21"/>
  <c r="N7" i="21"/>
  <c r="M58" i="21"/>
  <c r="M23" i="21"/>
  <c r="N23" i="21"/>
  <c r="M27" i="21"/>
  <c r="N27" i="21"/>
  <c r="M31" i="21"/>
  <c r="N31" i="21"/>
  <c r="M39" i="21"/>
  <c r="N39" i="21"/>
  <c r="M41" i="21"/>
  <c r="N41" i="21"/>
  <c r="M43" i="21"/>
  <c r="N43" i="21"/>
  <c r="M45" i="21"/>
  <c r="N45" i="21"/>
  <c r="M55" i="21"/>
  <c r="M59" i="21"/>
  <c r="N61" i="21"/>
  <c r="M72" i="21"/>
  <c r="N72" i="21"/>
  <c r="M76" i="21"/>
  <c r="N76" i="21"/>
  <c r="M8" i="21"/>
  <c r="N8" i="21"/>
  <c r="M11" i="21"/>
  <c r="N11" i="21"/>
  <c r="M15" i="21"/>
  <c r="N15" i="21"/>
  <c r="M37" i="21"/>
  <c r="N37" i="21"/>
  <c r="M53" i="21"/>
  <c r="M49" i="21"/>
  <c r="M20" i="21"/>
  <c r="N20" i="21"/>
  <c r="M22" i="21"/>
  <c r="N22" i="21"/>
  <c r="M24" i="21"/>
  <c r="N24" i="21"/>
  <c r="M26" i="21"/>
  <c r="N26" i="21"/>
  <c r="M30" i="21"/>
  <c r="M38" i="21"/>
  <c r="N38" i="21"/>
  <c r="M42" i="21"/>
  <c r="N42" i="21"/>
  <c r="M46" i="21"/>
  <c r="N46" i="21"/>
  <c r="M50" i="21"/>
  <c r="N50" i="21"/>
  <c r="M12" i="21"/>
  <c r="N12" i="21"/>
  <c r="M16" i="21"/>
  <c r="N16" i="21"/>
  <c r="M18" i="21"/>
  <c r="N18" i="21"/>
  <c r="M34" i="21"/>
  <c r="N34" i="21"/>
  <c r="M65" i="21"/>
  <c r="N65" i="21"/>
  <c r="M6" i="21"/>
  <c r="N6" i="21"/>
  <c r="M62" i="21"/>
  <c r="N62" i="21"/>
  <c r="M64" i="21"/>
  <c r="N64" i="21"/>
  <c r="M66" i="21"/>
  <c r="N66" i="21"/>
  <c r="M68" i="21"/>
  <c r="N68" i="21"/>
  <c r="M74" i="21"/>
  <c r="M13" i="21"/>
  <c r="N13" i="21"/>
  <c r="M36" i="21"/>
  <c r="N36" i="21"/>
  <c r="M57" i="21"/>
  <c r="M10" i="21"/>
  <c r="N10" i="21"/>
  <c r="M29" i="21"/>
  <c r="N29" i="21"/>
  <c r="M48" i="21"/>
  <c r="N48" i="21"/>
  <c r="M17" i="21"/>
  <c r="N17" i="21"/>
  <c r="M21" i="21"/>
  <c r="N21" i="21"/>
  <c r="M40" i="21"/>
  <c r="N40" i="21"/>
  <c r="M54" i="21"/>
  <c r="M63" i="21"/>
  <c r="N63" i="21"/>
  <c r="M14" i="21"/>
  <c r="N14" i="21"/>
  <c r="M33" i="21"/>
  <c r="N33" i="21"/>
  <c r="M35" i="21"/>
  <c r="M56" i="21"/>
  <c r="M9" i="21"/>
  <c r="N9" i="21"/>
  <c r="M28" i="21"/>
  <c r="N28" i="21"/>
  <c r="M47" i="21"/>
  <c r="N47" i="21"/>
  <c r="M52" i="21"/>
  <c r="M70" i="21"/>
  <c r="N70" i="21"/>
  <c r="M4" i="21"/>
  <c r="N4" i="21"/>
  <c r="M25" i="21"/>
  <c r="N25" i="21"/>
  <c r="M32" i="21"/>
  <c r="N32" i="21"/>
  <c r="M44" i="21"/>
  <c r="N44" i="21"/>
  <c r="M51" i="21"/>
  <c r="N51" i="21"/>
  <c r="M67" i="21"/>
  <c r="N67" i="21"/>
  <c r="M77" i="21"/>
  <c r="N77" i="21"/>
  <c r="H3" i="9"/>
  <c r="J3" i="9"/>
  <c r="I3" i="8"/>
  <c r="J3" i="8"/>
  <c r="K3" i="8"/>
  <c r="H4" i="7"/>
  <c r="H60" i="8"/>
  <c r="H81" i="8"/>
  <c r="I81" i="8"/>
  <c r="J81" i="8"/>
  <c r="K81" i="8"/>
  <c r="H82" i="8"/>
  <c r="I82" i="8"/>
  <c r="J82" i="8"/>
  <c r="K82" i="8"/>
  <c r="H83" i="8"/>
  <c r="I83" i="8"/>
  <c r="J83" i="8"/>
  <c r="K83" i="8"/>
  <c r="H84" i="8"/>
  <c r="I84" i="8"/>
  <c r="J84" i="8"/>
  <c r="K84" i="8"/>
  <c r="H81" i="9"/>
  <c r="I81" i="9"/>
  <c r="J81" i="9"/>
  <c r="K81" i="9"/>
  <c r="H82" i="9"/>
  <c r="J82" i="9"/>
  <c r="K82" i="9"/>
  <c r="H83" i="9"/>
  <c r="I83" i="9"/>
  <c r="J83" i="9"/>
  <c r="K83" i="9"/>
  <c r="H84" i="9"/>
  <c r="I84" i="9"/>
  <c r="J84" i="9"/>
  <c r="K84" i="9"/>
  <c r="H81" i="13"/>
  <c r="I81" i="13"/>
  <c r="J81" i="13"/>
  <c r="K81" i="13"/>
  <c r="H82" i="13"/>
  <c r="I82" i="13"/>
  <c r="J82" i="13"/>
  <c r="K82" i="13"/>
  <c r="H83" i="13"/>
  <c r="I83" i="13"/>
  <c r="K83" i="13"/>
  <c r="H84" i="13"/>
  <c r="I84" i="13"/>
  <c r="J84" i="13"/>
  <c r="K84" i="13"/>
  <c r="H81" i="14"/>
  <c r="I81" i="14"/>
  <c r="J81" i="14"/>
  <c r="K81" i="14"/>
  <c r="H82" i="14"/>
  <c r="J82" i="14"/>
  <c r="K82" i="14"/>
  <c r="H83" i="14"/>
  <c r="J83" i="14"/>
  <c r="K83" i="14"/>
  <c r="H40" i="9"/>
  <c r="I40" i="9"/>
  <c r="J40" i="9"/>
  <c r="K40" i="9"/>
  <c r="H40" i="8"/>
  <c r="I40" i="8"/>
  <c r="J40" i="8"/>
  <c r="K40" i="8"/>
  <c r="H40" i="7"/>
  <c r="I40" i="7"/>
  <c r="J40" i="7"/>
  <c r="K40" i="7"/>
  <c r="H40" i="3"/>
  <c r="I40" i="3"/>
  <c r="J40" i="3"/>
  <c r="L40" i="3"/>
  <c r="P40" i="3" s="1"/>
  <c r="K40" i="3"/>
  <c r="I70" i="16"/>
  <c r="J70" i="16"/>
  <c r="K70" i="16"/>
  <c r="L70" i="16"/>
  <c r="I71" i="16"/>
  <c r="J71" i="16"/>
  <c r="K71" i="16"/>
  <c r="L71" i="16"/>
  <c r="I32" i="16"/>
  <c r="J32" i="16"/>
  <c r="K32" i="16"/>
  <c r="L32" i="16"/>
  <c r="M32" i="16"/>
  <c r="K34" i="7"/>
  <c r="J34" i="7"/>
  <c r="I34" i="7"/>
  <c r="H34" i="7"/>
  <c r="K33" i="7"/>
  <c r="J33" i="7"/>
  <c r="I33" i="7"/>
  <c r="H33" i="7"/>
  <c r="K32" i="7"/>
  <c r="J32" i="7"/>
  <c r="I32" i="7"/>
  <c r="H32" i="7"/>
  <c r="K31" i="7"/>
  <c r="J31" i="7"/>
  <c r="I31" i="7"/>
  <c r="H31" i="7"/>
  <c r="K30" i="7"/>
  <c r="J30" i="7"/>
  <c r="I30" i="7"/>
  <c r="H30" i="7"/>
  <c r="K29" i="7"/>
  <c r="J29" i="7"/>
  <c r="I29" i="7"/>
  <c r="H29" i="7"/>
  <c r="I46" i="16"/>
  <c r="O4" i="18"/>
  <c r="S4" i="18"/>
  <c r="T4" i="18"/>
  <c r="P4" i="18"/>
  <c r="Q4" i="18"/>
  <c r="R4" i="18"/>
  <c r="P5" i="18"/>
  <c r="S5" i="18"/>
  <c r="T5" i="18"/>
  <c r="Q5" i="18"/>
  <c r="R5" i="18"/>
  <c r="O6" i="18"/>
  <c r="S6" i="18"/>
  <c r="T6" i="18"/>
  <c r="P6" i="18"/>
  <c r="Q6" i="18"/>
  <c r="R6" i="18"/>
  <c r="O7" i="18"/>
  <c r="P7" i="18"/>
  <c r="Q7" i="18"/>
  <c r="R7" i="18"/>
  <c r="S7" i="18"/>
  <c r="T7" i="18"/>
  <c r="O8" i="18"/>
  <c r="S8" i="18"/>
  <c r="T8" i="18"/>
  <c r="P8" i="18"/>
  <c r="Q8" i="18"/>
  <c r="R8" i="18"/>
  <c r="O9" i="18"/>
  <c r="S9" i="18"/>
  <c r="T9" i="18"/>
  <c r="P9" i="18"/>
  <c r="Q9" i="18"/>
  <c r="R9" i="18"/>
  <c r="O10" i="18"/>
  <c r="P10" i="18"/>
  <c r="S10" i="18"/>
  <c r="T10" i="18"/>
  <c r="Q10" i="18"/>
  <c r="R10" i="18"/>
  <c r="O11" i="18"/>
  <c r="P11" i="18"/>
  <c r="Q11" i="18"/>
  <c r="R11" i="18"/>
  <c r="S11" i="18"/>
  <c r="T11" i="18"/>
  <c r="O12" i="18"/>
  <c r="S12" i="18"/>
  <c r="T12" i="18"/>
  <c r="P12" i="18"/>
  <c r="Q12" i="18"/>
  <c r="R12" i="18"/>
  <c r="O13" i="18"/>
  <c r="S13" i="18"/>
  <c r="T13" i="18"/>
  <c r="P13" i="18"/>
  <c r="Q13" i="18"/>
  <c r="R13" i="18"/>
  <c r="O14" i="18"/>
  <c r="P14" i="18"/>
  <c r="S14" i="18"/>
  <c r="T14" i="18"/>
  <c r="Q14" i="18"/>
  <c r="R14" i="18"/>
  <c r="O15" i="18"/>
  <c r="P15" i="18"/>
  <c r="Q15" i="18"/>
  <c r="R15" i="18"/>
  <c r="S15" i="18"/>
  <c r="T15" i="18"/>
  <c r="O16" i="18"/>
  <c r="P16" i="18"/>
  <c r="S16" i="18"/>
  <c r="T16" i="18"/>
  <c r="O17" i="18"/>
  <c r="P17" i="18"/>
  <c r="S17" i="18"/>
  <c r="T17" i="18"/>
  <c r="Q17" i="18"/>
  <c r="R17" i="18"/>
  <c r="O18" i="18"/>
  <c r="P18" i="18"/>
  <c r="Q18" i="18"/>
  <c r="R18" i="18"/>
  <c r="S18" i="18"/>
  <c r="T18" i="18"/>
  <c r="O19" i="18"/>
  <c r="S19" i="18"/>
  <c r="T19" i="18"/>
  <c r="P19" i="18"/>
  <c r="Q19" i="18"/>
  <c r="R19" i="18"/>
  <c r="O20" i="18"/>
  <c r="S20" i="18"/>
  <c r="T20" i="18"/>
  <c r="P20" i="18"/>
  <c r="Q20" i="18"/>
  <c r="R20" i="18"/>
  <c r="O21" i="18"/>
  <c r="P21" i="18"/>
  <c r="S21" i="18"/>
  <c r="T21" i="18"/>
  <c r="Q21" i="18"/>
  <c r="R21" i="18"/>
  <c r="O22" i="18"/>
  <c r="P22" i="18"/>
  <c r="Q22" i="18"/>
  <c r="R22" i="18"/>
  <c r="S22" i="18"/>
  <c r="T22" i="18"/>
  <c r="O23" i="18"/>
  <c r="P23" i="18"/>
  <c r="S23" i="18"/>
  <c r="T23" i="18"/>
  <c r="Q23" i="18"/>
  <c r="R23" i="18"/>
  <c r="O24" i="18"/>
  <c r="S24" i="18"/>
  <c r="T24" i="18"/>
  <c r="P24" i="18"/>
  <c r="Q24" i="18"/>
  <c r="R24" i="18"/>
  <c r="O25" i="18"/>
  <c r="P25" i="18"/>
  <c r="S25" i="18"/>
  <c r="T25" i="18"/>
  <c r="Q25" i="18"/>
  <c r="R25" i="18"/>
  <c r="O26" i="18"/>
  <c r="P26" i="18"/>
  <c r="Q26" i="18"/>
  <c r="R26" i="18"/>
  <c r="S26" i="18"/>
  <c r="T26" i="18"/>
  <c r="O27" i="18"/>
  <c r="P27" i="18"/>
  <c r="S27" i="18"/>
  <c r="Q27" i="18"/>
  <c r="R27" i="18"/>
  <c r="O28" i="18"/>
  <c r="P28" i="18"/>
  <c r="Q28" i="18"/>
  <c r="R28" i="18"/>
  <c r="S28" i="18"/>
  <c r="T28" i="18"/>
  <c r="O29" i="18"/>
  <c r="P29" i="18"/>
  <c r="Q29" i="18"/>
  <c r="S29" i="18"/>
  <c r="T29" i="18"/>
  <c r="R29" i="18"/>
  <c r="O30" i="18"/>
  <c r="S30" i="18"/>
  <c r="T30" i="18"/>
  <c r="P30" i="18"/>
  <c r="Q30" i="18"/>
  <c r="R30" i="18"/>
  <c r="O31" i="18"/>
  <c r="S31" i="18"/>
  <c r="T31" i="18"/>
  <c r="P31" i="18"/>
  <c r="Q31" i="18"/>
  <c r="R31" i="18"/>
  <c r="O32" i="18"/>
  <c r="P32" i="18"/>
  <c r="Q32" i="18"/>
  <c r="R32" i="18"/>
  <c r="S32" i="18"/>
  <c r="T32" i="18"/>
  <c r="O33" i="18"/>
  <c r="P33" i="18"/>
  <c r="Q33" i="18"/>
  <c r="S33" i="18"/>
  <c r="T33" i="18"/>
  <c r="R33" i="18"/>
  <c r="O34" i="18"/>
  <c r="S34" i="18"/>
  <c r="T34" i="18"/>
  <c r="P34" i="18"/>
  <c r="Q34" i="18"/>
  <c r="R34" i="18"/>
  <c r="O35" i="18"/>
  <c r="S35" i="18"/>
  <c r="T35" i="18"/>
  <c r="P35" i="18"/>
  <c r="Q35" i="18"/>
  <c r="R35" i="18"/>
  <c r="O36" i="18"/>
  <c r="P36" i="18"/>
  <c r="Q36" i="18"/>
  <c r="R36" i="18"/>
  <c r="S36" i="18"/>
  <c r="T36" i="18"/>
  <c r="O37" i="18"/>
  <c r="P37" i="18"/>
  <c r="Q37" i="18"/>
  <c r="S37" i="18"/>
  <c r="T37" i="18"/>
  <c r="R37" i="18"/>
  <c r="O38" i="18"/>
  <c r="S38" i="18"/>
  <c r="T38" i="18"/>
  <c r="P38" i="18"/>
  <c r="Q38" i="18"/>
  <c r="R38" i="18"/>
  <c r="O39" i="18"/>
  <c r="S39" i="18"/>
  <c r="T39" i="18"/>
  <c r="P39" i="18"/>
  <c r="Q39" i="18"/>
  <c r="R39" i="18"/>
  <c r="O40" i="18"/>
  <c r="P40" i="18"/>
  <c r="Q40" i="18"/>
  <c r="R40" i="18"/>
  <c r="S40" i="18"/>
  <c r="T40" i="18"/>
  <c r="O41" i="18"/>
  <c r="P41" i="18"/>
  <c r="Q41" i="18"/>
  <c r="S41" i="18"/>
  <c r="T41" i="18"/>
  <c r="R41" i="18"/>
  <c r="O42" i="18"/>
  <c r="S42" i="18"/>
  <c r="T42" i="18"/>
  <c r="P42" i="18"/>
  <c r="Q42" i="18"/>
  <c r="R42" i="18"/>
  <c r="O43" i="18"/>
  <c r="S43" i="18"/>
  <c r="T43" i="18"/>
  <c r="P43" i="18"/>
  <c r="Q43" i="18"/>
  <c r="R43" i="18"/>
  <c r="O44" i="18"/>
  <c r="P44" i="18"/>
  <c r="Q44" i="18"/>
  <c r="R44" i="18"/>
  <c r="S44" i="18"/>
  <c r="T44" i="18"/>
  <c r="O45" i="18"/>
  <c r="P45" i="18"/>
  <c r="Q45" i="18"/>
  <c r="S45" i="18"/>
  <c r="R45" i="18"/>
  <c r="O46" i="18"/>
  <c r="S46" i="18"/>
  <c r="T46" i="18"/>
  <c r="P46" i="18"/>
  <c r="Q46" i="18"/>
  <c r="R46" i="18"/>
  <c r="O47" i="18"/>
  <c r="S47" i="18"/>
  <c r="T47" i="18"/>
  <c r="P47" i="18"/>
  <c r="Q47" i="18"/>
  <c r="R47" i="18"/>
  <c r="O48" i="18"/>
  <c r="P48" i="18"/>
  <c r="S48" i="18"/>
  <c r="Q48" i="18"/>
  <c r="R48" i="18"/>
  <c r="O49" i="18"/>
  <c r="S49" i="18"/>
  <c r="P49" i="18"/>
  <c r="Q49" i="18"/>
  <c r="R49" i="18"/>
  <c r="O50" i="18"/>
  <c r="S50" i="18"/>
  <c r="P50" i="18"/>
  <c r="Q50" i="18"/>
  <c r="R50" i="18"/>
  <c r="O51" i="18"/>
  <c r="P51" i="18"/>
  <c r="Q51" i="18"/>
  <c r="S51" i="18"/>
  <c r="R51" i="18"/>
  <c r="O52" i="18"/>
  <c r="P52" i="18"/>
  <c r="S52" i="18"/>
  <c r="Q52" i="18"/>
  <c r="R52" i="18"/>
  <c r="O53" i="18"/>
  <c r="P53" i="18"/>
  <c r="Q53" i="18"/>
  <c r="R53" i="18"/>
  <c r="S53" i="18"/>
  <c r="O54" i="18"/>
  <c r="P54" i="18"/>
  <c r="Q54" i="18"/>
  <c r="R54" i="18"/>
  <c r="S54" i="18"/>
  <c r="O55" i="18"/>
  <c r="S55" i="18"/>
  <c r="T57" i="18"/>
  <c r="P55" i="18"/>
  <c r="Q55" i="18"/>
  <c r="R55" i="18"/>
  <c r="S56" i="18"/>
  <c r="S57" i="18"/>
  <c r="O58" i="18"/>
  <c r="S58" i="18"/>
  <c r="T58" i="18"/>
  <c r="P58" i="18"/>
  <c r="Q58" i="18"/>
  <c r="R58" i="18"/>
  <c r="O59" i="18"/>
  <c r="P59" i="18"/>
  <c r="Q59" i="18"/>
  <c r="R59" i="18"/>
  <c r="S59" i="18"/>
  <c r="T59" i="18"/>
  <c r="O60" i="18"/>
  <c r="P60" i="18"/>
  <c r="Q60" i="18"/>
  <c r="S60" i="18"/>
  <c r="T60" i="18"/>
  <c r="R60" i="18"/>
  <c r="O61" i="18"/>
  <c r="S61" i="18"/>
  <c r="T61" i="18"/>
  <c r="P61" i="18"/>
  <c r="Q61" i="18"/>
  <c r="R61" i="18"/>
  <c r="O62" i="18"/>
  <c r="S62" i="18"/>
  <c r="T62" i="18"/>
  <c r="P62" i="18"/>
  <c r="Q62" i="18"/>
  <c r="R62" i="18"/>
  <c r="O63" i="18"/>
  <c r="P63" i="18"/>
  <c r="Q63" i="18"/>
  <c r="R63" i="18"/>
  <c r="S63" i="18"/>
  <c r="T63" i="18"/>
  <c r="O64" i="18"/>
  <c r="P64" i="18"/>
  <c r="Q64" i="18"/>
  <c r="S64" i="18"/>
  <c r="T64" i="18"/>
  <c r="R64" i="18"/>
  <c r="O65" i="18"/>
  <c r="S65" i="18"/>
  <c r="T65" i="18"/>
  <c r="P65" i="18"/>
  <c r="Q65" i="18"/>
  <c r="R65" i="18"/>
  <c r="O66" i="18"/>
  <c r="S66" i="18"/>
  <c r="T66" i="18"/>
  <c r="P66" i="18"/>
  <c r="Q66" i="18"/>
  <c r="R66" i="18"/>
  <c r="O67" i="18"/>
  <c r="P67" i="18"/>
  <c r="Q67" i="18"/>
  <c r="R67" i="18"/>
  <c r="S67" i="18"/>
  <c r="T67" i="18"/>
  <c r="O68" i="18"/>
  <c r="P68" i="18"/>
  <c r="Q68" i="18"/>
  <c r="S68" i="18"/>
  <c r="T68" i="18"/>
  <c r="R68" i="18"/>
  <c r="O69" i="18"/>
  <c r="S69" i="18"/>
  <c r="T69" i="18"/>
  <c r="P69" i="18"/>
  <c r="Q69" i="18"/>
  <c r="R69" i="18"/>
  <c r="O70" i="18"/>
  <c r="S70" i="18"/>
  <c r="T70" i="18"/>
  <c r="P70" i="18"/>
  <c r="Q70" i="18"/>
  <c r="R70" i="18"/>
  <c r="O71" i="18"/>
  <c r="P71" i="18"/>
  <c r="Q71" i="18"/>
  <c r="R71" i="18"/>
  <c r="S71" i="18"/>
  <c r="T71" i="18"/>
  <c r="O72" i="18"/>
  <c r="P72" i="18"/>
  <c r="Q72" i="18"/>
  <c r="S72" i="18"/>
  <c r="T72" i="18"/>
  <c r="R72" i="18"/>
  <c r="H60" i="14"/>
  <c r="I60" i="14"/>
  <c r="K60" i="14"/>
  <c r="H61" i="14"/>
  <c r="I61" i="14"/>
  <c r="K61" i="14"/>
  <c r="H62" i="14"/>
  <c r="I62" i="14"/>
  <c r="K62" i="14"/>
  <c r="H63" i="14"/>
  <c r="I63" i="14"/>
  <c r="J63" i="14"/>
  <c r="K63" i="14"/>
  <c r="H64" i="14"/>
  <c r="I64" i="14"/>
  <c r="J64" i="14"/>
  <c r="K64" i="14"/>
  <c r="H65" i="14"/>
  <c r="I65" i="14"/>
  <c r="J65" i="14"/>
  <c r="H66" i="14"/>
  <c r="I66" i="14"/>
  <c r="J66" i="14"/>
  <c r="K66" i="14"/>
  <c r="H67" i="14"/>
  <c r="I67" i="14"/>
  <c r="K67" i="14"/>
  <c r="P68" i="14"/>
  <c r="H60" i="13"/>
  <c r="K60" i="13"/>
  <c r="H61" i="13"/>
  <c r="I61" i="13"/>
  <c r="K61" i="13"/>
  <c r="H62" i="13"/>
  <c r="I62" i="13"/>
  <c r="K62" i="13"/>
  <c r="H63" i="13"/>
  <c r="I63" i="13"/>
  <c r="J63" i="13"/>
  <c r="K63" i="13"/>
  <c r="H64" i="13"/>
  <c r="I64" i="13"/>
  <c r="J64" i="13"/>
  <c r="K64" i="13"/>
  <c r="H65" i="13"/>
  <c r="I65" i="13"/>
  <c r="J65" i="13"/>
  <c r="H67" i="13"/>
  <c r="I67" i="13"/>
  <c r="K67" i="13"/>
  <c r="H60" i="9"/>
  <c r="I60" i="9"/>
  <c r="K60" i="9"/>
  <c r="H61" i="9"/>
  <c r="I61" i="9"/>
  <c r="K61" i="9"/>
  <c r="H62" i="9"/>
  <c r="I62" i="9"/>
  <c r="K62" i="9"/>
  <c r="H63" i="9"/>
  <c r="I63" i="9"/>
  <c r="J63" i="9"/>
  <c r="K63" i="9"/>
  <c r="H64" i="9"/>
  <c r="I64" i="9"/>
  <c r="J64" i="9"/>
  <c r="K64" i="9"/>
  <c r="H65" i="9"/>
  <c r="I65" i="9"/>
  <c r="J65" i="9"/>
  <c r="H67" i="9"/>
  <c r="I67" i="9"/>
  <c r="K67" i="9"/>
  <c r="I60" i="8"/>
  <c r="K60" i="8"/>
  <c r="H61" i="8"/>
  <c r="I61" i="8"/>
  <c r="K61" i="8"/>
  <c r="H62" i="8"/>
  <c r="I62" i="8"/>
  <c r="K62" i="8"/>
  <c r="H63" i="8"/>
  <c r="I63" i="8"/>
  <c r="J63" i="8"/>
  <c r="K63" i="8"/>
  <c r="H64" i="8"/>
  <c r="I64" i="8"/>
  <c r="K64" i="8"/>
  <c r="H65" i="8"/>
  <c r="I65" i="8"/>
  <c r="J65" i="8"/>
  <c r="I67" i="8"/>
  <c r="K67" i="8"/>
  <c r="H67" i="3"/>
  <c r="I67" i="3"/>
  <c r="H64" i="3"/>
  <c r="I64" i="3"/>
  <c r="J64" i="3"/>
  <c r="K64" i="3"/>
  <c r="H65" i="3"/>
  <c r="I65" i="3"/>
  <c r="J65" i="3"/>
  <c r="H62" i="3"/>
  <c r="I62" i="3"/>
  <c r="H61" i="3"/>
  <c r="I61" i="3"/>
  <c r="J61" i="3"/>
  <c r="H63" i="3"/>
  <c r="I63" i="3"/>
  <c r="J63" i="3"/>
  <c r="K63" i="3"/>
  <c r="J60" i="3"/>
  <c r="K60" i="3"/>
  <c r="P68" i="6"/>
  <c r="J19" i="7"/>
  <c r="K19" i="7"/>
  <c r="H60" i="7"/>
  <c r="I60" i="7"/>
  <c r="K60" i="7"/>
  <c r="H61" i="7"/>
  <c r="I61" i="7"/>
  <c r="K61" i="7"/>
  <c r="H62" i="7"/>
  <c r="I62" i="7"/>
  <c r="K62" i="7"/>
  <c r="H63" i="7"/>
  <c r="I63" i="7"/>
  <c r="J63" i="7"/>
  <c r="K63" i="7"/>
  <c r="H64" i="7"/>
  <c r="I64" i="7"/>
  <c r="J64" i="7"/>
  <c r="K64" i="7"/>
  <c r="H65" i="7"/>
  <c r="I65" i="7"/>
  <c r="J65" i="7"/>
  <c r="K65" i="7"/>
  <c r="H67" i="7"/>
  <c r="I67" i="7"/>
  <c r="J67" i="7"/>
  <c r="K67" i="7"/>
  <c r="P68" i="7"/>
  <c r="M58" i="16"/>
  <c r="M57" i="16"/>
  <c r="I55" i="8"/>
  <c r="I4" i="16"/>
  <c r="J4" i="16"/>
  <c r="K4" i="16"/>
  <c r="L4" i="16"/>
  <c r="J5" i="16"/>
  <c r="K5" i="16"/>
  <c r="L5" i="16"/>
  <c r="I6" i="16"/>
  <c r="J6" i="16"/>
  <c r="K6" i="16"/>
  <c r="L6" i="16"/>
  <c r="I7" i="16"/>
  <c r="J7" i="16"/>
  <c r="K7" i="16"/>
  <c r="L7" i="16"/>
  <c r="I8" i="16"/>
  <c r="J8" i="16"/>
  <c r="K8" i="16"/>
  <c r="L8" i="16"/>
  <c r="I9" i="16"/>
  <c r="J9" i="16"/>
  <c r="K9" i="16"/>
  <c r="L9" i="16"/>
  <c r="I10" i="16"/>
  <c r="J10" i="16"/>
  <c r="K10" i="16"/>
  <c r="L10" i="16"/>
  <c r="I11" i="16"/>
  <c r="J11" i="16"/>
  <c r="K11" i="16"/>
  <c r="L11" i="16"/>
  <c r="I12" i="16"/>
  <c r="J12" i="16"/>
  <c r="K12" i="16"/>
  <c r="L12" i="16"/>
  <c r="I13" i="16"/>
  <c r="J13" i="16"/>
  <c r="K13" i="16"/>
  <c r="L13" i="16"/>
  <c r="I14" i="16"/>
  <c r="J14" i="16"/>
  <c r="K14" i="16"/>
  <c r="L14" i="16"/>
  <c r="I15" i="16"/>
  <c r="J15" i="16"/>
  <c r="K15" i="16"/>
  <c r="L15" i="16"/>
  <c r="I16" i="16"/>
  <c r="J16" i="16"/>
  <c r="I17" i="16"/>
  <c r="J17" i="16"/>
  <c r="K17" i="16"/>
  <c r="L17" i="16"/>
  <c r="I18" i="16"/>
  <c r="J18" i="16"/>
  <c r="K18" i="16"/>
  <c r="L18" i="16"/>
  <c r="I19" i="16"/>
  <c r="J19" i="16"/>
  <c r="K19" i="16"/>
  <c r="L19" i="16"/>
  <c r="I20" i="16"/>
  <c r="J20" i="16"/>
  <c r="K20" i="16"/>
  <c r="L20" i="16"/>
  <c r="I21" i="16"/>
  <c r="J21" i="16"/>
  <c r="K21" i="16"/>
  <c r="L21" i="16"/>
  <c r="I22" i="16"/>
  <c r="J22" i="16"/>
  <c r="K22" i="16"/>
  <c r="L22" i="16"/>
  <c r="I23" i="16"/>
  <c r="J23" i="16"/>
  <c r="K23" i="16"/>
  <c r="L23" i="16"/>
  <c r="I24" i="16"/>
  <c r="J24" i="16"/>
  <c r="K24" i="16"/>
  <c r="L24" i="16"/>
  <c r="I25" i="16"/>
  <c r="J25" i="16"/>
  <c r="K25" i="16"/>
  <c r="L25" i="16"/>
  <c r="I26" i="16"/>
  <c r="J26" i="16"/>
  <c r="K26" i="16"/>
  <c r="L26" i="16"/>
  <c r="I27" i="16"/>
  <c r="J27" i="16"/>
  <c r="K27" i="16"/>
  <c r="L27" i="16"/>
  <c r="I28" i="16"/>
  <c r="J28" i="16"/>
  <c r="K28" i="16"/>
  <c r="L28" i="16"/>
  <c r="I29" i="16"/>
  <c r="J29" i="16"/>
  <c r="K29" i="16"/>
  <c r="L29" i="16"/>
  <c r="I30" i="16"/>
  <c r="J30" i="16"/>
  <c r="K30" i="16"/>
  <c r="L30" i="16"/>
  <c r="I31" i="16"/>
  <c r="J31" i="16"/>
  <c r="K31" i="16"/>
  <c r="L31" i="16"/>
  <c r="I33" i="16"/>
  <c r="J33" i="16"/>
  <c r="K33" i="16"/>
  <c r="L33" i="16"/>
  <c r="I34" i="16"/>
  <c r="J34" i="16"/>
  <c r="K34" i="16"/>
  <c r="L34" i="16"/>
  <c r="I35" i="16"/>
  <c r="J35" i="16"/>
  <c r="K35" i="16"/>
  <c r="L35" i="16"/>
  <c r="I36" i="16"/>
  <c r="J36" i="16"/>
  <c r="K36" i="16"/>
  <c r="L36" i="16"/>
  <c r="I37" i="16"/>
  <c r="J37" i="16"/>
  <c r="K37" i="16"/>
  <c r="L37" i="16"/>
  <c r="I38" i="16"/>
  <c r="J38" i="16"/>
  <c r="K38" i="16"/>
  <c r="L38" i="16"/>
  <c r="I39" i="16"/>
  <c r="J39" i="16"/>
  <c r="K39" i="16"/>
  <c r="L39" i="16"/>
  <c r="I40" i="16"/>
  <c r="J40" i="16"/>
  <c r="K40" i="16"/>
  <c r="L40" i="16"/>
  <c r="I41" i="16"/>
  <c r="J41" i="16"/>
  <c r="K41" i="16"/>
  <c r="L41" i="16"/>
  <c r="I42" i="16"/>
  <c r="J42" i="16"/>
  <c r="K42" i="16"/>
  <c r="L42" i="16"/>
  <c r="I43" i="16"/>
  <c r="J43" i="16"/>
  <c r="K43" i="16"/>
  <c r="L43" i="16"/>
  <c r="I44" i="16"/>
  <c r="J44" i="16"/>
  <c r="K44" i="16"/>
  <c r="L44" i="16"/>
  <c r="I45" i="16"/>
  <c r="J45" i="16"/>
  <c r="K45" i="16"/>
  <c r="L45" i="16"/>
  <c r="J46" i="16"/>
  <c r="K46" i="16"/>
  <c r="L46" i="16"/>
  <c r="I47" i="16"/>
  <c r="J47" i="16"/>
  <c r="K47" i="16"/>
  <c r="L47" i="16"/>
  <c r="I48" i="16"/>
  <c r="J48" i="16"/>
  <c r="K48" i="16"/>
  <c r="L48" i="16"/>
  <c r="I49" i="16"/>
  <c r="J49" i="16"/>
  <c r="K49" i="16"/>
  <c r="L49" i="16"/>
  <c r="I52" i="16"/>
  <c r="J52" i="16"/>
  <c r="K52" i="16"/>
  <c r="L52" i="16"/>
  <c r="I50" i="16"/>
  <c r="J50" i="16"/>
  <c r="K50" i="16"/>
  <c r="L50" i="16"/>
  <c r="I51" i="16"/>
  <c r="J51" i="16"/>
  <c r="K51" i="16"/>
  <c r="L51" i="16"/>
  <c r="I54" i="16"/>
  <c r="J54" i="16"/>
  <c r="K54" i="16"/>
  <c r="L54" i="16"/>
  <c r="I53" i="16"/>
  <c r="J53" i="16"/>
  <c r="K53" i="16"/>
  <c r="L53" i="16"/>
  <c r="I56" i="16"/>
  <c r="J56" i="16"/>
  <c r="K56" i="16"/>
  <c r="L56" i="16"/>
  <c r="I55" i="16"/>
  <c r="J55" i="16"/>
  <c r="K55" i="16"/>
  <c r="L55" i="16"/>
  <c r="I59" i="16"/>
  <c r="J59" i="16"/>
  <c r="K59" i="16"/>
  <c r="L59" i="16"/>
  <c r="I60" i="16"/>
  <c r="J60" i="16"/>
  <c r="K60" i="16"/>
  <c r="L60" i="16"/>
  <c r="I61" i="16"/>
  <c r="J61" i="16"/>
  <c r="K61" i="16"/>
  <c r="L61" i="16"/>
  <c r="I62" i="16"/>
  <c r="J62" i="16"/>
  <c r="K62" i="16"/>
  <c r="L62" i="16"/>
  <c r="I63" i="16"/>
  <c r="J63" i="16"/>
  <c r="K63" i="16"/>
  <c r="L63" i="16"/>
  <c r="I64" i="16"/>
  <c r="J64" i="16"/>
  <c r="K64" i="16"/>
  <c r="L64" i="16"/>
  <c r="I65" i="16"/>
  <c r="J65" i="16"/>
  <c r="K65" i="16"/>
  <c r="L65" i="16"/>
  <c r="I66" i="16"/>
  <c r="J66" i="16"/>
  <c r="K66" i="16"/>
  <c r="L66" i="16"/>
  <c r="I67" i="16"/>
  <c r="J67" i="16"/>
  <c r="K67" i="16"/>
  <c r="L67" i="16"/>
  <c r="I68" i="16"/>
  <c r="J68" i="16"/>
  <c r="K68" i="16"/>
  <c r="L68" i="16"/>
  <c r="I69" i="16"/>
  <c r="J69" i="16"/>
  <c r="K69" i="16"/>
  <c r="L69" i="16"/>
  <c r="I72" i="16"/>
  <c r="J72" i="16"/>
  <c r="K72" i="16"/>
  <c r="L72" i="16"/>
  <c r="I73" i="16"/>
  <c r="J73" i="16"/>
  <c r="K73" i="16"/>
  <c r="L73" i="16"/>
  <c r="I74" i="16"/>
  <c r="J74" i="16"/>
  <c r="K74" i="16"/>
  <c r="L74" i="16"/>
  <c r="P61" i="6"/>
  <c r="P68" i="9"/>
  <c r="P84" i="12"/>
  <c r="P82" i="12"/>
  <c r="P81" i="12"/>
  <c r="P40" i="6"/>
  <c r="M70" i="16"/>
  <c r="P67" i="6"/>
  <c r="P62" i="6"/>
  <c r="P60" i="6"/>
  <c r="P65" i="6"/>
  <c r="M71" i="16"/>
  <c r="P66" i="11"/>
  <c r="M37" i="16"/>
  <c r="N37" i="16"/>
  <c r="M49" i="16"/>
  <c r="M15" i="16"/>
  <c r="N15" i="16"/>
  <c r="M42" i="16"/>
  <c r="N42" i="16"/>
  <c r="M10" i="16"/>
  <c r="N10" i="16"/>
  <c r="M34" i="16"/>
  <c r="N34" i="16"/>
  <c r="M26" i="16"/>
  <c r="N26" i="16"/>
  <c r="M68" i="16"/>
  <c r="N68" i="16"/>
  <c r="M18" i="16"/>
  <c r="N18" i="16"/>
  <c r="M5" i="16"/>
  <c r="N5" i="16"/>
  <c r="M48" i="16"/>
  <c r="N48" i="16"/>
  <c r="M46" i="16"/>
  <c r="M36" i="16"/>
  <c r="N36" i="16"/>
  <c r="M41" i="16"/>
  <c r="N41" i="16"/>
  <c r="M73" i="16"/>
  <c r="N73" i="16"/>
  <c r="M64" i="16"/>
  <c r="N64" i="16"/>
  <c r="M51" i="16"/>
  <c r="M52" i="16"/>
  <c r="M22" i="16"/>
  <c r="N22" i="16"/>
  <c r="M11" i="16"/>
  <c r="N11" i="16"/>
  <c r="M6" i="16"/>
  <c r="N6" i="16"/>
  <c r="M29" i="16"/>
  <c r="N29" i="16"/>
  <c r="M21" i="16"/>
  <c r="N21" i="16"/>
  <c r="M63" i="16"/>
  <c r="N63" i="16"/>
  <c r="M45" i="16"/>
  <c r="N45" i="16"/>
  <c r="M38" i="16"/>
  <c r="N38" i="16"/>
  <c r="M72" i="16"/>
  <c r="N72" i="16"/>
  <c r="M69" i="16"/>
  <c r="N69" i="16"/>
  <c r="M67" i="16"/>
  <c r="N67" i="16"/>
  <c r="M59" i="16"/>
  <c r="N59" i="16"/>
  <c r="M56" i="16"/>
  <c r="M25" i="16"/>
  <c r="N25" i="16"/>
  <c r="M9" i="16"/>
  <c r="N9" i="16"/>
  <c r="M7" i="16"/>
  <c r="N7" i="16"/>
  <c r="M60" i="16"/>
  <c r="N60" i="16"/>
  <c r="M53" i="16"/>
  <c r="M17" i="16"/>
  <c r="N17" i="16"/>
  <c r="M33" i="16"/>
  <c r="N33" i="16"/>
  <c r="M30" i="16"/>
  <c r="N30" i="16"/>
  <c r="M28" i="16"/>
  <c r="N28" i="16"/>
  <c r="M14" i="16"/>
  <c r="N14" i="16"/>
  <c r="M12" i="16"/>
  <c r="N12" i="16"/>
  <c r="M4" i="16"/>
  <c r="N4" i="16"/>
  <c r="M62" i="16"/>
  <c r="N62" i="16"/>
  <c r="M39" i="16"/>
  <c r="N39" i="16"/>
  <c r="M65" i="16"/>
  <c r="N65" i="16"/>
  <c r="M54" i="16"/>
  <c r="M44" i="16"/>
  <c r="N44" i="16"/>
  <c r="M23" i="16"/>
  <c r="N23" i="16"/>
  <c r="M20" i="16"/>
  <c r="N20" i="16"/>
  <c r="M50" i="16"/>
  <c r="M74" i="16"/>
  <c r="N74" i="16"/>
  <c r="M55" i="16"/>
  <c r="M47" i="16"/>
  <c r="N47" i="16"/>
  <c r="M35" i="16"/>
  <c r="N35" i="16"/>
  <c r="M16" i="16"/>
  <c r="N16" i="16"/>
  <c r="M13" i="16"/>
  <c r="N13" i="16"/>
  <c r="M8" i="16"/>
  <c r="N8" i="16"/>
  <c r="M31" i="16"/>
  <c r="N31" i="16"/>
  <c r="M61" i="16"/>
  <c r="N61" i="16"/>
  <c r="M40" i="16"/>
  <c r="N40" i="16"/>
  <c r="M66" i="16"/>
  <c r="N66" i="16"/>
  <c r="M43" i="16"/>
  <c r="N43" i="16"/>
  <c r="M27" i="16"/>
  <c r="M24" i="16"/>
  <c r="N24" i="16"/>
  <c r="M19" i="16"/>
  <c r="N19" i="16"/>
  <c r="P84" i="11"/>
  <c r="N58" i="16"/>
  <c r="I4" i="3"/>
  <c r="K3" i="7"/>
  <c r="K9" i="7"/>
  <c r="J3" i="7"/>
  <c r="I3" i="7"/>
  <c r="J4" i="7"/>
  <c r="J3" i="3"/>
  <c r="K3" i="3"/>
  <c r="I50" i="7"/>
  <c r="J9" i="3"/>
  <c r="K9" i="3"/>
  <c r="J11" i="3"/>
  <c r="I3" i="3"/>
  <c r="K86" i="14"/>
  <c r="J86" i="14"/>
  <c r="I86" i="14"/>
  <c r="H86" i="14"/>
  <c r="K85" i="14"/>
  <c r="J85" i="14"/>
  <c r="I85" i="14"/>
  <c r="H85" i="14"/>
  <c r="K80" i="14"/>
  <c r="J80" i="14"/>
  <c r="I80" i="14"/>
  <c r="H80" i="14"/>
  <c r="K79" i="14"/>
  <c r="J79" i="14"/>
  <c r="I79" i="14"/>
  <c r="H79" i="14"/>
  <c r="K78" i="14"/>
  <c r="J78" i="14"/>
  <c r="H78" i="14"/>
  <c r="K77" i="14"/>
  <c r="J77" i="14"/>
  <c r="I77" i="14"/>
  <c r="H77" i="14"/>
  <c r="K76" i="14"/>
  <c r="J76" i="14"/>
  <c r="I76" i="14"/>
  <c r="H76" i="14"/>
  <c r="K75" i="14"/>
  <c r="J75" i="14"/>
  <c r="I75" i="14"/>
  <c r="H75" i="14"/>
  <c r="K74" i="14"/>
  <c r="J74" i="14"/>
  <c r="I74" i="14"/>
  <c r="H74" i="14"/>
  <c r="K73" i="14"/>
  <c r="J73" i="14"/>
  <c r="H73" i="14"/>
  <c r="K72" i="14"/>
  <c r="J72" i="14"/>
  <c r="H72" i="14"/>
  <c r="K71" i="14"/>
  <c r="J71" i="14"/>
  <c r="I71" i="14"/>
  <c r="H71" i="14"/>
  <c r="K59" i="14"/>
  <c r="J59" i="14"/>
  <c r="H59" i="14"/>
  <c r="K58" i="14"/>
  <c r="H58" i="14"/>
  <c r="K57" i="14"/>
  <c r="J57" i="14"/>
  <c r="I57" i="14"/>
  <c r="H57" i="14"/>
  <c r="K56" i="14"/>
  <c r="J56" i="14"/>
  <c r="H56" i="14"/>
  <c r="J55" i="14"/>
  <c r="I55" i="14"/>
  <c r="H55" i="14"/>
  <c r="K54" i="14"/>
  <c r="J54" i="14"/>
  <c r="I54" i="14"/>
  <c r="H54" i="14"/>
  <c r="K53" i="14"/>
  <c r="J53" i="14"/>
  <c r="I53" i="14"/>
  <c r="H53" i="14"/>
  <c r="J52" i="14"/>
  <c r="I52" i="14"/>
  <c r="H52" i="14"/>
  <c r="I51" i="14"/>
  <c r="H51" i="14"/>
  <c r="K50" i="14"/>
  <c r="J50" i="14"/>
  <c r="H50" i="14"/>
  <c r="K49" i="14"/>
  <c r="J49" i="14"/>
  <c r="H49" i="14"/>
  <c r="K48" i="14"/>
  <c r="I48" i="14"/>
  <c r="H48" i="14"/>
  <c r="K47" i="14"/>
  <c r="I47" i="14"/>
  <c r="H47" i="14"/>
  <c r="K46" i="14"/>
  <c r="I46" i="14"/>
  <c r="H46" i="14"/>
  <c r="K45" i="14"/>
  <c r="J45" i="14"/>
  <c r="I45" i="14"/>
  <c r="H45" i="14"/>
  <c r="K41" i="14"/>
  <c r="J41" i="14"/>
  <c r="I41" i="14"/>
  <c r="H41" i="14"/>
  <c r="K39" i="14"/>
  <c r="J39" i="14"/>
  <c r="I39" i="14"/>
  <c r="H39" i="14"/>
  <c r="K37" i="14"/>
  <c r="J37" i="14"/>
  <c r="I37" i="14"/>
  <c r="H37" i="14"/>
  <c r="K36" i="14"/>
  <c r="J36" i="14"/>
  <c r="I36" i="14"/>
  <c r="H36" i="14"/>
  <c r="K35" i="14"/>
  <c r="J35" i="14"/>
  <c r="I35" i="14"/>
  <c r="H35" i="14"/>
  <c r="K34" i="14"/>
  <c r="J34" i="14"/>
  <c r="I34" i="14"/>
  <c r="H34" i="14"/>
  <c r="K33" i="14"/>
  <c r="J33" i="14"/>
  <c r="I33" i="14"/>
  <c r="H33" i="14"/>
  <c r="K32" i="14"/>
  <c r="J32" i="14"/>
  <c r="I32" i="14"/>
  <c r="H32" i="14"/>
  <c r="K31" i="14"/>
  <c r="J31" i="14"/>
  <c r="H31" i="14"/>
  <c r="K30" i="14"/>
  <c r="J30" i="14"/>
  <c r="I30" i="14"/>
  <c r="H30" i="14"/>
  <c r="K29" i="14"/>
  <c r="J29" i="14"/>
  <c r="I29" i="14"/>
  <c r="H29" i="14"/>
  <c r="K23" i="14"/>
  <c r="J23" i="14"/>
  <c r="I23" i="14"/>
  <c r="H23" i="14"/>
  <c r="K22" i="14"/>
  <c r="J22" i="14"/>
  <c r="I22" i="14"/>
  <c r="H22" i="14"/>
  <c r="K21" i="14"/>
  <c r="J21" i="14"/>
  <c r="I21" i="14"/>
  <c r="H21" i="14"/>
  <c r="K20" i="14"/>
  <c r="J20" i="14"/>
  <c r="H20" i="14"/>
  <c r="I19" i="14"/>
  <c r="H19" i="14"/>
  <c r="K18" i="14"/>
  <c r="J18" i="14"/>
  <c r="I18" i="14"/>
  <c r="H18" i="14"/>
  <c r="K17" i="14"/>
  <c r="J17" i="14"/>
  <c r="I17" i="14"/>
  <c r="H17" i="14"/>
  <c r="K16" i="14"/>
  <c r="J16" i="14"/>
  <c r="I16" i="14"/>
  <c r="H16" i="14"/>
  <c r="K15" i="14"/>
  <c r="J15" i="14"/>
  <c r="I15" i="14"/>
  <c r="H15" i="14"/>
  <c r="K14" i="14"/>
  <c r="J14" i="14"/>
  <c r="I14" i="14"/>
  <c r="H14" i="14"/>
  <c r="K13" i="14"/>
  <c r="J13" i="14"/>
  <c r="I13" i="14"/>
  <c r="H13" i="14"/>
  <c r="K12" i="14"/>
  <c r="J12" i="14"/>
  <c r="I12" i="14"/>
  <c r="H12" i="14"/>
  <c r="K11" i="14"/>
  <c r="J11" i="14"/>
  <c r="H11" i="14"/>
  <c r="K10" i="14"/>
  <c r="J10" i="14"/>
  <c r="I10" i="14"/>
  <c r="H10" i="14"/>
  <c r="K9" i="14"/>
  <c r="J9" i="14"/>
  <c r="I9" i="14"/>
  <c r="H9" i="14"/>
  <c r="K5" i="14"/>
  <c r="J5" i="14"/>
  <c r="I5" i="14"/>
  <c r="K4" i="14"/>
  <c r="H4" i="14"/>
  <c r="K86" i="13"/>
  <c r="J86" i="13"/>
  <c r="I86" i="13"/>
  <c r="H86" i="13"/>
  <c r="K85" i="13"/>
  <c r="J85" i="13"/>
  <c r="I85" i="13"/>
  <c r="H85" i="13"/>
  <c r="K80" i="13"/>
  <c r="J80" i="13"/>
  <c r="I80" i="13"/>
  <c r="H80" i="13"/>
  <c r="K79" i="13"/>
  <c r="J79" i="13"/>
  <c r="I79" i="13"/>
  <c r="H79" i="13"/>
  <c r="K78" i="13"/>
  <c r="J78" i="13"/>
  <c r="I78" i="13"/>
  <c r="H78" i="13"/>
  <c r="K77" i="13"/>
  <c r="J77" i="13"/>
  <c r="I77" i="13"/>
  <c r="H77" i="13"/>
  <c r="K76" i="13"/>
  <c r="J76" i="13"/>
  <c r="I76" i="13"/>
  <c r="H76" i="13"/>
  <c r="K75" i="13"/>
  <c r="J75" i="13"/>
  <c r="I75" i="13"/>
  <c r="H75" i="13"/>
  <c r="K74" i="13"/>
  <c r="J74" i="13"/>
  <c r="I74" i="13"/>
  <c r="H74" i="13"/>
  <c r="K73" i="13"/>
  <c r="J73" i="13"/>
  <c r="I73" i="13"/>
  <c r="H73" i="13"/>
  <c r="K72" i="13"/>
  <c r="J72" i="13"/>
  <c r="I72" i="13"/>
  <c r="H72" i="13"/>
  <c r="K71" i="13"/>
  <c r="J71" i="13"/>
  <c r="I71" i="13"/>
  <c r="H71" i="13"/>
  <c r="K59" i="13"/>
  <c r="J59" i="13"/>
  <c r="I59" i="13"/>
  <c r="J58" i="13"/>
  <c r="L58" i="13" s="1"/>
  <c r="P58" i="13" s="1"/>
  <c r="K57" i="13"/>
  <c r="J57" i="13"/>
  <c r="I57" i="13"/>
  <c r="H57" i="13"/>
  <c r="K56" i="13"/>
  <c r="J56" i="13"/>
  <c r="J55" i="13"/>
  <c r="L55" i="13" s="1"/>
  <c r="P55" i="13" s="1"/>
  <c r="K54" i="13"/>
  <c r="J54" i="13"/>
  <c r="I54" i="13"/>
  <c r="H54" i="13"/>
  <c r="K53" i="13"/>
  <c r="J53" i="13"/>
  <c r="I53" i="13"/>
  <c r="H53" i="13"/>
  <c r="J52" i="13"/>
  <c r="I52" i="13"/>
  <c r="H52" i="13"/>
  <c r="I51" i="13"/>
  <c r="H51" i="13"/>
  <c r="K50" i="13"/>
  <c r="J50" i="13"/>
  <c r="K49" i="13"/>
  <c r="J49" i="13"/>
  <c r="K48" i="13"/>
  <c r="J48" i="13"/>
  <c r="K47" i="13"/>
  <c r="J47" i="13"/>
  <c r="K46" i="13"/>
  <c r="J46" i="13"/>
  <c r="K45" i="13"/>
  <c r="J45" i="13"/>
  <c r="H45" i="13"/>
  <c r="K41" i="13"/>
  <c r="J41" i="13"/>
  <c r="I41" i="13"/>
  <c r="H41" i="13"/>
  <c r="K39" i="13"/>
  <c r="J39" i="13"/>
  <c r="I39" i="13"/>
  <c r="K38" i="13"/>
  <c r="J38" i="13"/>
  <c r="I38" i="13"/>
  <c r="H38" i="13"/>
  <c r="K37" i="13"/>
  <c r="J37" i="13"/>
  <c r="I37" i="13"/>
  <c r="H37" i="13"/>
  <c r="K36" i="13"/>
  <c r="J36" i="13"/>
  <c r="I36" i="13"/>
  <c r="K35" i="13"/>
  <c r="J35" i="13"/>
  <c r="I35" i="13"/>
  <c r="K34" i="13"/>
  <c r="J34" i="13"/>
  <c r="I34" i="13"/>
  <c r="K33" i="13"/>
  <c r="J33" i="13"/>
  <c r="I33" i="13"/>
  <c r="H33" i="13"/>
  <c r="K32" i="13"/>
  <c r="J32" i="13"/>
  <c r="I32" i="13"/>
  <c r="H32" i="13"/>
  <c r="K31" i="13"/>
  <c r="J31" i="13"/>
  <c r="I31" i="13"/>
  <c r="H31" i="13"/>
  <c r="K30" i="13"/>
  <c r="J30" i="13"/>
  <c r="I30" i="13"/>
  <c r="H30" i="13"/>
  <c r="K29" i="13"/>
  <c r="J29" i="13"/>
  <c r="K23" i="13"/>
  <c r="J23" i="13"/>
  <c r="I23" i="13"/>
  <c r="H23" i="13"/>
  <c r="K22" i="13"/>
  <c r="J22" i="13"/>
  <c r="I22" i="13"/>
  <c r="H22" i="13"/>
  <c r="K21" i="13"/>
  <c r="J21" i="13"/>
  <c r="I21" i="13"/>
  <c r="H21" i="13"/>
  <c r="K20" i="13"/>
  <c r="J20" i="13"/>
  <c r="I20" i="13"/>
  <c r="H20" i="13"/>
  <c r="I19" i="13"/>
  <c r="H19" i="13"/>
  <c r="K18" i="13"/>
  <c r="J18" i="13"/>
  <c r="K17" i="13"/>
  <c r="J17" i="13"/>
  <c r="I17" i="13"/>
  <c r="H17" i="13"/>
  <c r="K16" i="13"/>
  <c r="J16" i="13"/>
  <c r="I16" i="13"/>
  <c r="K15" i="13"/>
  <c r="J15" i="13"/>
  <c r="I15" i="13"/>
  <c r="H15" i="13"/>
  <c r="K13" i="13"/>
  <c r="J13" i="13"/>
  <c r="I13" i="13"/>
  <c r="H13" i="13"/>
  <c r="K12" i="13"/>
  <c r="J12" i="13"/>
  <c r="I12" i="13"/>
  <c r="H12" i="13"/>
  <c r="J11" i="13"/>
  <c r="I11" i="13"/>
  <c r="H11" i="13"/>
  <c r="J10" i="13"/>
  <c r="H10" i="13"/>
  <c r="K9" i="13"/>
  <c r="J9" i="13"/>
  <c r="I9" i="13"/>
  <c r="K5" i="13"/>
  <c r="J5" i="13"/>
  <c r="I5" i="13"/>
  <c r="H4" i="13"/>
  <c r="K41" i="12"/>
  <c r="J41" i="12"/>
  <c r="I41" i="12"/>
  <c r="H41" i="12"/>
  <c r="K39" i="12"/>
  <c r="J39" i="12"/>
  <c r="I39" i="12"/>
  <c r="H39" i="12"/>
  <c r="K38" i="12"/>
  <c r="J38" i="12"/>
  <c r="H38" i="12"/>
  <c r="K37" i="12"/>
  <c r="J37" i="12"/>
  <c r="I37" i="12"/>
  <c r="H37" i="12"/>
  <c r="K36" i="12"/>
  <c r="J36" i="12"/>
  <c r="I36" i="12"/>
  <c r="H36" i="12"/>
  <c r="K35" i="12"/>
  <c r="J35" i="12"/>
  <c r="I35" i="12"/>
  <c r="K34" i="12"/>
  <c r="J34" i="12"/>
  <c r="I34" i="12"/>
  <c r="K33" i="12"/>
  <c r="J33" i="12"/>
  <c r="I33" i="12"/>
  <c r="K32" i="12"/>
  <c r="J32" i="12"/>
  <c r="I32" i="12"/>
  <c r="K31" i="12"/>
  <c r="H31" i="12"/>
  <c r="K30" i="12"/>
  <c r="K29" i="12"/>
  <c r="J29" i="12"/>
  <c r="I29" i="12"/>
  <c r="H29" i="12"/>
  <c r="K23" i="12"/>
  <c r="J23" i="12"/>
  <c r="I23" i="12"/>
  <c r="H23" i="12"/>
  <c r="K22" i="12"/>
  <c r="J22" i="12"/>
  <c r="K21" i="12"/>
  <c r="J21" i="12"/>
  <c r="I21" i="12"/>
  <c r="H21" i="12"/>
  <c r="J20" i="12"/>
  <c r="I20" i="12"/>
  <c r="H20" i="12"/>
  <c r="I19" i="12"/>
  <c r="H19" i="12"/>
  <c r="K18" i="12"/>
  <c r="J18" i="12"/>
  <c r="I18" i="12"/>
  <c r="H18" i="12"/>
  <c r="K17" i="12"/>
  <c r="J17" i="12"/>
  <c r="I17" i="12"/>
  <c r="H17" i="12"/>
  <c r="K16" i="12"/>
  <c r="J16" i="12"/>
  <c r="I16" i="12"/>
  <c r="H16" i="12"/>
  <c r="K15" i="12"/>
  <c r="J15" i="12"/>
  <c r="I15" i="12"/>
  <c r="H15" i="12"/>
  <c r="K14" i="12"/>
  <c r="J14" i="12"/>
  <c r="I14" i="12"/>
  <c r="K13" i="12"/>
  <c r="J13" i="12"/>
  <c r="I13" i="12"/>
  <c r="H13" i="12"/>
  <c r="K12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5" i="12"/>
  <c r="I5" i="12"/>
  <c r="K4" i="12"/>
  <c r="K41" i="11"/>
  <c r="J41" i="11"/>
  <c r="I41" i="11"/>
  <c r="H41" i="11"/>
  <c r="K39" i="11"/>
  <c r="J39" i="11"/>
  <c r="I39" i="11"/>
  <c r="H39" i="11"/>
  <c r="K38" i="11"/>
  <c r="J38" i="11"/>
  <c r="H38" i="11"/>
  <c r="K37" i="11"/>
  <c r="J37" i="11"/>
  <c r="I37" i="11"/>
  <c r="H37" i="11"/>
  <c r="K36" i="11"/>
  <c r="J36" i="11"/>
  <c r="I36" i="11"/>
  <c r="H36" i="11"/>
  <c r="K35" i="11"/>
  <c r="J35" i="11"/>
  <c r="I35" i="11"/>
  <c r="H35" i="11"/>
  <c r="K34" i="11"/>
  <c r="J34" i="11"/>
  <c r="I34" i="11"/>
  <c r="H34" i="11"/>
  <c r="K33" i="11"/>
  <c r="J33" i="11"/>
  <c r="I33" i="11"/>
  <c r="H33" i="11"/>
  <c r="K32" i="11"/>
  <c r="J32" i="11"/>
  <c r="I32" i="11"/>
  <c r="H32" i="11"/>
  <c r="K31" i="11"/>
  <c r="J31" i="11"/>
  <c r="H31" i="11"/>
  <c r="K30" i="11"/>
  <c r="J30" i="11"/>
  <c r="I30" i="11"/>
  <c r="P30" i="11" s="1"/>
  <c r="H30" i="11"/>
  <c r="K29" i="11"/>
  <c r="J29" i="11"/>
  <c r="I29" i="11"/>
  <c r="H29" i="11"/>
  <c r="K23" i="11"/>
  <c r="J23" i="11"/>
  <c r="I23" i="11"/>
  <c r="H23" i="11"/>
  <c r="K22" i="11"/>
  <c r="I22" i="11"/>
  <c r="K21" i="11"/>
  <c r="J21" i="11"/>
  <c r="I21" i="11"/>
  <c r="H21" i="11"/>
  <c r="K20" i="11"/>
  <c r="J20" i="11"/>
  <c r="H20" i="11"/>
  <c r="I19" i="11"/>
  <c r="H19" i="11"/>
  <c r="K18" i="11"/>
  <c r="J18" i="11"/>
  <c r="I18" i="11"/>
  <c r="H18" i="11"/>
  <c r="K17" i="11"/>
  <c r="J17" i="11"/>
  <c r="I17" i="11"/>
  <c r="H17" i="11"/>
  <c r="K16" i="11"/>
  <c r="J16" i="11"/>
  <c r="I16" i="11"/>
  <c r="H16" i="11"/>
  <c r="K15" i="11"/>
  <c r="J15" i="11"/>
  <c r="I15" i="11"/>
  <c r="H15" i="11"/>
  <c r="K14" i="11"/>
  <c r="J14" i="11"/>
  <c r="I14" i="11"/>
  <c r="H14" i="11"/>
  <c r="K13" i="11"/>
  <c r="J13" i="11"/>
  <c r="I13" i="11"/>
  <c r="H13" i="11"/>
  <c r="J12" i="11"/>
  <c r="I12" i="11"/>
  <c r="H12" i="11"/>
  <c r="J11" i="11"/>
  <c r="I11" i="11"/>
  <c r="H11" i="11"/>
  <c r="K10" i="11"/>
  <c r="J10" i="11"/>
  <c r="I10" i="11"/>
  <c r="H10" i="11"/>
  <c r="K9" i="11"/>
  <c r="J9" i="11"/>
  <c r="I9" i="11"/>
  <c r="H9" i="11"/>
  <c r="J5" i="11"/>
  <c r="I5" i="11"/>
  <c r="K4" i="11"/>
  <c r="H4" i="11"/>
  <c r="K86" i="9"/>
  <c r="J86" i="9"/>
  <c r="I86" i="9"/>
  <c r="H86" i="9"/>
  <c r="K85" i="9"/>
  <c r="J85" i="9"/>
  <c r="I85" i="9"/>
  <c r="H85" i="9"/>
  <c r="K80" i="9"/>
  <c r="J80" i="9"/>
  <c r="I80" i="9"/>
  <c r="H80" i="9"/>
  <c r="K79" i="9"/>
  <c r="J79" i="9"/>
  <c r="I79" i="9"/>
  <c r="H79" i="9"/>
  <c r="K78" i="9"/>
  <c r="J78" i="9"/>
  <c r="I78" i="9"/>
  <c r="H78" i="9"/>
  <c r="K77" i="9"/>
  <c r="J77" i="9"/>
  <c r="I77" i="9"/>
  <c r="K76" i="9"/>
  <c r="J76" i="9"/>
  <c r="I76" i="9"/>
  <c r="H76" i="9"/>
  <c r="K75" i="9"/>
  <c r="J75" i="9"/>
  <c r="I75" i="9"/>
  <c r="H75" i="9"/>
  <c r="K74" i="9"/>
  <c r="J74" i="9"/>
  <c r="I74" i="9"/>
  <c r="H74" i="9"/>
  <c r="K73" i="9"/>
  <c r="J73" i="9"/>
  <c r="I73" i="9"/>
  <c r="H73" i="9"/>
  <c r="K72" i="9"/>
  <c r="J72" i="9"/>
  <c r="I72" i="9"/>
  <c r="H72" i="9"/>
  <c r="K71" i="9"/>
  <c r="J71" i="9"/>
  <c r="I71" i="9"/>
  <c r="H71" i="9"/>
  <c r="K59" i="9"/>
  <c r="J59" i="9"/>
  <c r="I59" i="9"/>
  <c r="J58" i="9"/>
  <c r="L58" i="9" s="1"/>
  <c r="P58" i="9" s="1"/>
  <c r="K57" i="9"/>
  <c r="J57" i="9"/>
  <c r="I57" i="9"/>
  <c r="H57" i="9"/>
  <c r="J56" i="9"/>
  <c r="L56" i="9" s="1"/>
  <c r="P56" i="9" s="1"/>
  <c r="K55" i="9"/>
  <c r="J55" i="9"/>
  <c r="I55" i="9"/>
  <c r="K54" i="9"/>
  <c r="J54" i="9"/>
  <c r="I54" i="9"/>
  <c r="H54" i="9"/>
  <c r="K53" i="9"/>
  <c r="J53" i="9"/>
  <c r="I53" i="9"/>
  <c r="H53" i="9"/>
  <c r="K52" i="9"/>
  <c r="J52" i="9"/>
  <c r="I52" i="9"/>
  <c r="H52" i="9"/>
  <c r="I51" i="9"/>
  <c r="H51" i="9"/>
  <c r="K50" i="9"/>
  <c r="L50" i="9" s="1"/>
  <c r="P50" i="9" s="1"/>
  <c r="K49" i="9"/>
  <c r="J49" i="9"/>
  <c r="I48" i="9"/>
  <c r="H48" i="9"/>
  <c r="I47" i="9"/>
  <c r="H47" i="9"/>
  <c r="K46" i="9"/>
  <c r="I46" i="9"/>
  <c r="H46" i="9"/>
  <c r="J45" i="9"/>
  <c r="I45" i="9"/>
  <c r="H45" i="9"/>
  <c r="K41" i="9"/>
  <c r="J41" i="9"/>
  <c r="I41" i="9"/>
  <c r="H41" i="9"/>
  <c r="K39" i="9"/>
  <c r="J39" i="9"/>
  <c r="I39" i="9"/>
  <c r="K38" i="9"/>
  <c r="I38" i="9"/>
  <c r="H38" i="9"/>
  <c r="K37" i="9"/>
  <c r="J37" i="9"/>
  <c r="I37" i="9"/>
  <c r="K36" i="9"/>
  <c r="J36" i="9"/>
  <c r="I36" i="9"/>
  <c r="K35" i="9"/>
  <c r="J35" i="9"/>
  <c r="I35" i="9"/>
  <c r="K34" i="9"/>
  <c r="I34" i="9"/>
  <c r="H34" i="9"/>
  <c r="K33" i="9"/>
  <c r="J33" i="9"/>
  <c r="I33" i="9"/>
  <c r="H33" i="9"/>
  <c r="K32" i="9"/>
  <c r="J32" i="9"/>
  <c r="I32" i="9"/>
  <c r="K31" i="9"/>
  <c r="I31" i="9"/>
  <c r="H31" i="9"/>
  <c r="K30" i="9"/>
  <c r="J30" i="9"/>
  <c r="I30" i="9"/>
  <c r="H30" i="9"/>
  <c r="K29" i="9"/>
  <c r="J29" i="9"/>
  <c r="I29" i="9"/>
  <c r="K23" i="9"/>
  <c r="J23" i="9"/>
  <c r="I23" i="9"/>
  <c r="H23" i="9"/>
  <c r="K22" i="9"/>
  <c r="J22" i="9"/>
  <c r="H22" i="9"/>
  <c r="K21" i="9"/>
  <c r="J21" i="9"/>
  <c r="I21" i="9"/>
  <c r="H21" i="9"/>
  <c r="H20" i="9"/>
  <c r="I19" i="9"/>
  <c r="H19" i="9"/>
  <c r="K18" i="9"/>
  <c r="J18" i="9"/>
  <c r="I18" i="9"/>
  <c r="K17" i="9"/>
  <c r="J17" i="9"/>
  <c r="I17" i="9"/>
  <c r="H17" i="9"/>
  <c r="K16" i="9"/>
  <c r="J16" i="9"/>
  <c r="I16" i="9"/>
  <c r="K15" i="9"/>
  <c r="J15" i="9"/>
  <c r="I15" i="9"/>
  <c r="H15" i="9"/>
  <c r="K14" i="9"/>
  <c r="J14" i="9"/>
  <c r="I14" i="9"/>
  <c r="H14" i="9"/>
  <c r="K13" i="9"/>
  <c r="J13" i="9"/>
  <c r="I13" i="9"/>
  <c r="H13" i="9"/>
  <c r="K12" i="9"/>
  <c r="J12" i="9"/>
  <c r="I12" i="9"/>
  <c r="H12" i="9"/>
  <c r="J11" i="9"/>
  <c r="I11" i="9"/>
  <c r="K10" i="9"/>
  <c r="J10" i="9"/>
  <c r="I10" i="9"/>
  <c r="H10" i="9"/>
  <c r="K9" i="9"/>
  <c r="J9" i="9"/>
  <c r="I9" i="9"/>
  <c r="H9" i="9"/>
  <c r="J5" i="9"/>
  <c r="K4" i="9"/>
  <c r="K86" i="8"/>
  <c r="J86" i="8"/>
  <c r="I86" i="8"/>
  <c r="H86" i="8"/>
  <c r="K85" i="8"/>
  <c r="J85" i="8"/>
  <c r="I85" i="8"/>
  <c r="H85" i="8"/>
  <c r="K80" i="8"/>
  <c r="J80" i="8"/>
  <c r="I80" i="8"/>
  <c r="H80" i="8"/>
  <c r="K79" i="8"/>
  <c r="J79" i="8"/>
  <c r="I79" i="8"/>
  <c r="H79" i="8"/>
  <c r="K78" i="8"/>
  <c r="J78" i="8"/>
  <c r="I78" i="8"/>
  <c r="H78" i="8"/>
  <c r="K77" i="8"/>
  <c r="J77" i="8"/>
  <c r="I77" i="8"/>
  <c r="K76" i="8"/>
  <c r="J76" i="8"/>
  <c r="I76" i="8"/>
  <c r="H76" i="8"/>
  <c r="J75" i="8"/>
  <c r="I75" i="8"/>
  <c r="K74" i="8"/>
  <c r="J74" i="8"/>
  <c r="I74" i="8"/>
  <c r="J73" i="8"/>
  <c r="I73" i="8"/>
  <c r="K72" i="8"/>
  <c r="J72" i="8"/>
  <c r="I72" i="8"/>
  <c r="K71" i="8"/>
  <c r="J71" i="8"/>
  <c r="I71" i="8"/>
  <c r="K59" i="8"/>
  <c r="J59" i="8"/>
  <c r="I59" i="8"/>
  <c r="K58" i="8"/>
  <c r="J58" i="8"/>
  <c r="I58" i="8"/>
  <c r="K57" i="8"/>
  <c r="J57" i="8"/>
  <c r="I57" i="8"/>
  <c r="H57" i="8"/>
  <c r="K56" i="8"/>
  <c r="J56" i="8"/>
  <c r="I56" i="8"/>
  <c r="J55" i="8"/>
  <c r="K54" i="8"/>
  <c r="J54" i="8"/>
  <c r="I54" i="8"/>
  <c r="H54" i="8"/>
  <c r="K53" i="8"/>
  <c r="J53" i="8"/>
  <c r="I53" i="8"/>
  <c r="H53" i="8"/>
  <c r="K52" i="8"/>
  <c r="J52" i="8"/>
  <c r="I52" i="8"/>
  <c r="H52" i="8"/>
  <c r="I51" i="8"/>
  <c r="H51" i="8"/>
  <c r="K50" i="8"/>
  <c r="J50" i="8"/>
  <c r="I50" i="8"/>
  <c r="K49" i="8"/>
  <c r="J49" i="8"/>
  <c r="I49" i="8"/>
  <c r="K48" i="8"/>
  <c r="J48" i="8"/>
  <c r="I48" i="8"/>
  <c r="H48" i="8"/>
  <c r="K47" i="8"/>
  <c r="J47" i="8"/>
  <c r="I47" i="8"/>
  <c r="H47" i="8"/>
  <c r="K46" i="8"/>
  <c r="J46" i="8"/>
  <c r="I46" i="8"/>
  <c r="K45" i="8"/>
  <c r="J45" i="8"/>
  <c r="I45" i="8"/>
  <c r="H45" i="8"/>
  <c r="K41" i="8"/>
  <c r="J41" i="8"/>
  <c r="I41" i="8"/>
  <c r="H41" i="8"/>
  <c r="K39" i="8"/>
  <c r="J39" i="8"/>
  <c r="I39" i="8"/>
  <c r="H39" i="8"/>
  <c r="K38" i="8"/>
  <c r="J38" i="8"/>
  <c r="I38" i="8"/>
  <c r="H38" i="8"/>
  <c r="K37" i="8"/>
  <c r="J37" i="8"/>
  <c r="I37" i="8"/>
  <c r="H37" i="8"/>
  <c r="K36" i="8"/>
  <c r="J36" i="8"/>
  <c r="I36" i="8"/>
  <c r="K35" i="8"/>
  <c r="J35" i="8"/>
  <c r="I35" i="8"/>
  <c r="H35" i="8"/>
  <c r="K34" i="8"/>
  <c r="J34" i="8"/>
  <c r="I34" i="8"/>
  <c r="H34" i="8"/>
  <c r="K33" i="8"/>
  <c r="J33" i="8"/>
  <c r="I33" i="8"/>
  <c r="H33" i="8"/>
  <c r="K32" i="8"/>
  <c r="J32" i="8"/>
  <c r="I32" i="8"/>
  <c r="H32" i="8"/>
  <c r="K31" i="8"/>
  <c r="J31" i="8"/>
  <c r="I31" i="8"/>
  <c r="H31" i="8"/>
  <c r="K30" i="8"/>
  <c r="J30" i="8"/>
  <c r="I30" i="8"/>
  <c r="H30" i="8"/>
  <c r="K29" i="8"/>
  <c r="J29" i="8"/>
  <c r="I29" i="8"/>
  <c r="K23" i="8"/>
  <c r="J23" i="8"/>
  <c r="I23" i="8"/>
  <c r="H23" i="8"/>
  <c r="K22" i="8"/>
  <c r="J22" i="8"/>
  <c r="I22" i="8"/>
  <c r="H22" i="8"/>
  <c r="K21" i="8"/>
  <c r="J21" i="8"/>
  <c r="I21" i="8"/>
  <c r="H21" i="8"/>
  <c r="K20" i="8"/>
  <c r="I20" i="8"/>
  <c r="I19" i="8"/>
  <c r="H19" i="8"/>
  <c r="K18" i="8"/>
  <c r="J18" i="8"/>
  <c r="I18" i="8"/>
  <c r="K17" i="8"/>
  <c r="J17" i="8"/>
  <c r="I17" i="8"/>
  <c r="H17" i="8"/>
  <c r="K16" i="8"/>
  <c r="J16" i="8"/>
  <c r="I16" i="8"/>
  <c r="K15" i="8"/>
  <c r="J15" i="8"/>
  <c r="I15" i="8"/>
  <c r="K14" i="8"/>
  <c r="J14" i="8"/>
  <c r="I14" i="8"/>
  <c r="H14" i="8"/>
  <c r="K13" i="8"/>
  <c r="J13" i="8"/>
  <c r="I13" i="8"/>
  <c r="H13" i="8"/>
  <c r="K12" i="8"/>
  <c r="J12" i="8"/>
  <c r="I12" i="8"/>
  <c r="H12" i="8"/>
  <c r="K11" i="8"/>
  <c r="J11" i="8"/>
  <c r="I11" i="8"/>
  <c r="K10" i="8"/>
  <c r="J10" i="8"/>
  <c r="I10" i="8"/>
  <c r="H10" i="8"/>
  <c r="K9" i="8"/>
  <c r="J9" i="8"/>
  <c r="I9" i="8"/>
  <c r="H9" i="8"/>
  <c r="K4" i="8"/>
  <c r="J4" i="8"/>
  <c r="I4" i="8"/>
  <c r="H4" i="8"/>
  <c r="K81" i="7"/>
  <c r="I55" i="7"/>
  <c r="K86" i="7"/>
  <c r="J86" i="7"/>
  <c r="I86" i="7"/>
  <c r="H86" i="7"/>
  <c r="K85" i="7"/>
  <c r="J85" i="7"/>
  <c r="I85" i="7"/>
  <c r="H85" i="7"/>
  <c r="K84" i="7"/>
  <c r="J84" i="7"/>
  <c r="I84" i="7"/>
  <c r="H84" i="7"/>
  <c r="K83" i="7"/>
  <c r="J83" i="7"/>
  <c r="I83" i="7"/>
  <c r="H83" i="7"/>
  <c r="J81" i="7"/>
  <c r="I81" i="7"/>
  <c r="H81" i="7"/>
  <c r="K80" i="7"/>
  <c r="J80" i="7"/>
  <c r="I80" i="7"/>
  <c r="H80" i="7"/>
  <c r="K79" i="7"/>
  <c r="J79" i="7"/>
  <c r="I79" i="7"/>
  <c r="H79" i="7"/>
  <c r="K78" i="7"/>
  <c r="J78" i="7"/>
  <c r="I78" i="7"/>
  <c r="H78" i="7"/>
  <c r="K77" i="7"/>
  <c r="J77" i="7"/>
  <c r="I77" i="7"/>
  <c r="K76" i="7"/>
  <c r="J76" i="7"/>
  <c r="I76" i="7"/>
  <c r="H76" i="7"/>
  <c r="K75" i="7"/>
  <c r="J75" i="7"/>
  <c r="I75" i="7"/>
  <c r="H75" i="7"/>
  <c r="K74" i="7"/>
  <c r="J74" i="7"/>
  <c r="I74" i="7"/>
  <c r="H74" i="7"/>
  <c r="K73" i="7"/>
  <c r="J73" i="7"/>
  <c r="I73" i="7"/>
  <c r="H73" i="7"/>
  <c r="K72" i="7"/>
  <c r="J72" i="7"/>
  <c r="I72" i="7"/>
  <c r="H72" i="7"/>
  <c r="K71" i="7"/>
  <c r="J71" i="7"/>
  <c r="I71" i="7"/>
  <c r="H71" i="7"/>
  <c r="J59" i="7"/>
  <c r="H59" i="7"/>
  <c r="P58" i="7"/>
  <c r="K57" i="7"/>
  <c r="J57" i="7"/>
  <c r="I57" i="7"/>
  <c r="H57" i="7"/>
  <c r="J56" i="7"/>
  <c r="L56" i="7" s="1"/>
  <c r="P56" i="7" s="1"/>
  <c r="J55" i="7"/>
  <c r="K54" i="7"/>
  <c r="J54" i="7"/>
  <c r="I54" i="7"/>
  <c r="H54" i="7"/>
  <c r="K53" i="7"/>
  <c r="J53" i="7"/>
  <c r="I53" i="7"/>
  <c r="H53" i="7"/>
  <c r="J52" i="7"/>
  <c r="I52" i="7"/>
  <c r="H52" i="7"/>
  <c r="I51" i="7"/>
  <c r="H51" i="7"/>
  <c r="K50" i="7"/>
  <c r="K49" i="7"/>
  <c r="J49" i="7"/>
  <c r="I48" i="7"/>
  <c r="H48" i="7"/>
  <c r="K47" i="7"/>
  <c r="I47" i="7"/>
  <c r="H47" i="7"/>
  <c r="K46" i="7"/>
  <c r="J46" i="7"/>
  <c r="J45" i="7"/>
  <c r="I45" i="7"/>
  <c r="H45" i="7"/>
  <c r="K41" i="7"/>
  <c r="J41" i="7"/>
  <c r="I41" i="7"/>
  <c r="H41" i="7"/>
  <c r="K39" i="7"/>
  <c r="J39" i="7"/>
  <c r="I39" i="7"/>
  <c r="H39" i="7"/>
  <c r="K38" i="7"/>
  <c r="J38" i="7"/>
  <c r="H38" i="7"/>
  <c r="K37" i="7"/>
  <c r="J37" i="7"/>
  <c r="I37" i="7"/>
  <c r="K36" i="7"/>
  <c r="J36" i="7"/>
  <c r="I36" i="7"/>
  <c r="H36" i="7"/>
  <c r="K35" i="7"/>
  <c r="J35" i="7"/>
  <c r="I35" i="7"/>
  <c r="H35" i="7"/>
  <c r="K23" i="7"/>
  <c r="J23" i="7"/>
  <c r="I23" i="7"/>
  <c r="H23" i="7"/>
  <c r="K22" i="7"/>
  <c r="J22" i="7"/>
  <c r="I22" i="7"/>
  <c r="H22" i="7"/>
  <c r="K21" i="7"/>
  <c r="J21" i="7"/>
  <c r="I21" i="7"/>
  <c r="H21" i="7"/>
  <c r="K20" i="7"/>
  <c r="J20" i="7"/>
  <c r="I20" i="7"/>
  <c r="H20" i="7"/>
  <c r="I19" i="7"/>
  <c r="H19" i="7"/>
  <c r="K18" i="7"/>
  <c r="J18" i="7"/>
  <c r="I18" i="7"/>
  <c r="H18" i="7"/>
  <c r="K17" i="7"/>
  <c r="J17" i="7"/>
  <c r="I17" i="7"/>
  <c r="H17" i="7"/>
  <c r="K16" i="7"/>
  <c r="J16" i="7"/>
  <c r="I16" i="7"/>
  <c r="H16" i="7"/>
  <c r="K15" i="7"/>
  <c r="J15" i="7"/>
  <c r="I15" i="7"/>
  <c r="H15" i="7"/>
  <c r="K14" i="7"/>
  <c r="J14" i="7"/>
  <c r="I14" i="7"/>
  <c r="H14" i="7"/>
  <c r="K13" i="7"/>
  <c r="J13" i="7"/>
  <c r="I13" i="7"/>
  <c r="K12" i="7"/>
  <c r="J12" i="7"/>
  <c r="I12" i="7"/>
  <c r="H12" i="7"/>
  <c r="K11" i="7"/>
  <c r="J11" i="7"/>
  <c r="I11" i="7"/>
  <c r="H11" i="7"/>
  <c r="K10" i="7"/>
  <c r="J10" i="7"/>
  <c r="I10" i="7"/>
  <c r="H10" i="7"/>
  <c r="J9" i="7"/>
  <c r="I9" i="7"/>
  <c r="H9" i="7"/>
  <c r="K4" i="7"/>
  <c r="P29" i="6"/>
  <c r="P30" i="6"/>
  <c r="P31" i="6"/>
  <c r="P32" i="6"/>
  <c r="P33" i="6"/>
  <c r="P34" i="6"/>
  <c r="P35" i="6"/>
  <c r="P36" i="6"/>
  <c r="P37" i="6"/>
  <c r="P38" i="6"/>
  <c r="P39" i="6"/>
  <c r="P41" i="6"/>
  <c r="H80" i="6"/>
  <c r="I80" i="6"/>
  <c r="J80" i="6"/>
  <c r="K80" i="6"/>
  <c r="H81" i="6"/>
  <c r="I81" i="6"/>
  <c r="J81" i="6"/>
  <c r="H82" i="6"/>
  <c r="I82" i="6"/>
  <c r="J82" i="6"/>
  <c r="K82" i="6"/>
  <c r="H84" i="6"/>
  <c r="I84" i="6"/>
  <c r="J84" i="6"/>
  <c r="K84" i="6"/>
  <c r="H85" i="6"/>
  <c r="I85" i="6"/>
  <c r="J85" i="6"/>
  <c r="K85" i="6"/>
  <c r="H86" i="6"/>
  <c r="I86" i="6"/>
  <c r="J86" i="6"/>
  <c r="K86" i="6"/>
  <c r="L9" i="11"/>
  <c r="P9" i="11" s="1"/>
  <c r="L13" i="12"/>
  <c r="P13" i="12" s="1"/>
  <c r="L15" i="12"/>
  <c r="P15" i="12" s="1"/>
  <c r="L17" i="12"/>
  <c r="P17" i="12" s="1"/>
  <c r="P34" i="11"/>
  <c r="L29" i="14"/>
  <c r="P29" i="14" s="1"/>
  <c r="L9" i="14"/>
  <c r="P9" i="14" s="1"/>
  <c r="L33" i="14"/>
  <c r="P33" i="14" s="1"/>
  <c r="L18" i="14"/>
  <c r="P18" i="14" s="1"/>
  <c r="L19" i="14"/>
  <c r="P19" i="14" s="1"/>
  <c r="L21" i="14"/>
  <c r="P21" i="14" s="1"/>
  <c r="L13" i="14"/>
  <c r="P13" i="14" s="1"/>
  <c r="L39" i="14"/>
  <c r="P39" i="14" s="1"/>
  <c r="L10" i="14"/>
  <c r="P10" i="14" s="1"/>
  <c r="L14" i="14"/>
  <c r="P14" i="14" s="1"/>
  <c r="L19" i="13"/>
  <c r="P19" i="13" s="1"/>
  <c r="L5" i="13"/>
  <c r="P5" i="13" s="1"/>
  <c r="L20" i="13"/>
  <c r="P20" i="13" s="1"/>
  <c r="L32" i="13"/>
  <c r="P32" i="13" s="1"/>
  <c r="L37" i="13"/>
  <c r="P37" i="13" s="1"/>
  <c r="L29" i="12"/>
  <c r="L36" i="12"/>
  <c r="L29" i="11"/>
  <c r="P29" i="11" s="1"/>
  <c r="P76" i="12"/>
  <c r="P80" i="12"/>
  <c r="P85" i="12"/>
  <c r="L18" i="11"/>
  <c r="P18" i="11" s="1"/>
  <c r="P23" i="12"/>
  <c r="L15" i="9"/>
  <c r="P15" i="9" s="1"/>
  <c r="P36" i="8"/>
  <c r="L38" i="8"/>
  <c r="P38" i="8" s="1"/>
  <c r="L9" i="8"/>
  <c r="P9" i="8" s="1"/>
  <c r="L14" i="8"/>
  <c r="P14" i="8" s="1"/>
  <c r="L33" i="8"/>
  <c r="P33" i="8" s="1"/>
  <c r="L19" i="8"/>
  <c r="P19" i="8" s="1"/>
  <c r="L35" i="8"/>
  <c r="P35" i="8" s="1"/>
  <c r="L39" i="8"/>
  <c r="P39" i="8" s="1"/>
  <c r="L10" i="8"/>
  <c r="P10" i="8" s="1"/>
  <c r="L13" i="8"/>
  <c r="P13" i="8" s="1"/>
  <c r="L17" i="8"/>
  <c r="P17" i="8" s="1"/>
  <c r="L37" i="9"/>
  <c r="P37" i="9" s="1"/>
  <c r="L31" i="13"/>
  <c r="P31" i="13" s="1"/>
  <c r="L9" i="9"/>
  <c r="P9" i="9" s="1"/>
  <c r="L17" i="9"/>
  <c r="P17" i="9" s="1"/>
  <c r="P37" i="12"/>
  <c r="L32" i="14"/>
  <c r="P32" i="14" s="1"/>
  <c r="L4" i="8"/>
  <c r="P4" i="8" s="1"/>
  <c r="L21" i="8"/>
  <c r="P21" i="8" s="1"/>
  <c r="L30" i="8"/>
  <c r="P30" i="8" s="1"/>
  <c r="L34" i="8"/>
  <c r="P34" i="8" s="1"/>
  <c r="L15" i="11"/>
  <c r="P15" i="11" s="1"/>
  <c r="L17" i="11"/>
  <c r="P17" i="11" s="1"/>
  <c r="L21" i="11"/>
  <c r="P21" i="11" s="1"/>
  <c r="L18" i="12"/>
  <c r="P18" i="12" s="1"/>
  <c r="L15" i="14"/>
  <c r="P15" i="14" s="1"/>
  <c r="L17" i="14"/>
  <c r="P17" i="14" s="1"/>
  <c r="L32" i="8"/>
  <c r="P32" i="8" s="1"/>
  <c r="L37" i="8"/>
  <c r="P37" i="8" s="1"/>
  <c r="L19" i="11"/>
  <c r="P19" i="11" s="1"/>
  <c r="P35" i="11"/>
  <c r="P37" i="11"/>
  <c r="P39" i="11"/>
  <c r="P79" i="12"/>
  <c r="L33" i="13"/>
  <c r="P33" i="13" s="1"/>
  <c r="L5" i="14"/>
  <c r="P5" i="14" s="1"/>
  <c r="L12" i="14"/>
  <c r="P12" i="14" s="1"/>
  <c r="L36" i="14"/>
  <c r="P36" i="14" s="1"/>
  <c r="L5" i="8"/>
  <c r="P5" i="8" s="1"/>
  <c r="L10" i="9"/>
  <c r="P10" i="9" s="1"/>
  <c r="L14" i="9"/>
  <c r="P14" i="9" s="1"/>
  <c r="L16" i="11"/>
  <c r="P16" i="11" s="1"/>
  <c r="L19" i="12"/>
  <c r="P19" i="12" s="1"/>
  <c r="P32" i="12"/>
  <c r="P74" i="12"/>
  <c r="L21" i="13"/>
  <c r="P21" i="13" s="1"/>
  <c r="L16" i="14"/>
  <c r="P16" i="14" s="1"/>
  <c r="L30" i="14"/>
  <c r="P30" i="14" s="1"/>
  <c r="L22" i="8"/>
  <c r="P22" i="8" s="1"/>
  <c r="L5" i="9"/>
  <c r="P5" i="9" s="1"/>
  <c r="L12" i="9"/>
  <c r="P12" i="9" s="1"/>
  <c r="L33" i="9"/>
  <c r="P33" i="9" s="1"/>
  <c r="P34" i="12"/>
  <c r="L17" i="13"/>
  <c r="P17" i="13" s="1"/>
  <c r="L30" i="13"/>
  <c r="P30" i="13" s="1"/>
  <c r="L34" i="14"/>
  <c r="P34" i="14" s="1"/>
  <c r="L31" i="8"/>
  <c r="P31" i="8" s="1"/>
  <c r="L21" i="9"/>
  <c r="P21" i="9" s="1"/>
  <c r="L30" i="9"/>
  <c r="P30" i="9" s="1"/>
  <c r="L12" i="12"/>
  <c r="P12" i="12" s="1"/>
  <c r="L15" i="13"/>
  <c r="P15" i="13" s="1"/>
  <c r="L11" i="14"/>
  <c r="P11" i="14" s="1"/>
  <c r="L35" i="14"/>
  <c r="P35" i="14" s="1"/>
  <c r="L37" i="14"/>
  <c r="P37" i="14" s="1"/>
  <c r="L36" i="11"/>
  <c r="P36" i="11" s="1"/>
  <c r="L16" i="12"/>
  <c r="P16" i="12" s="1"/>
  <c r="P77" i="12"/>
  <c r="P86" i="12"/>
  <c r="L38" i="13"/>
  <c r="P38" i="13" s="1"/>
  <c r="L19" i="7"/>
  <c r="P19" i="7" s="1"/>
  <c r="L32" i="7"/>
  <c r="P32" i="7" s="1"/>
  <c r="L33" i="7"/>
  <c r="P33" i="7" s="1"/>
  <c r="L5" i="7"/>
  <c r="P5" i="7" s="1"/>
  <c r="L20" i="7"/>
  <c r="P20" i="7" s="1"/>
  <c r="L10" i="7"/>
  <c r="P10" i="7" s="1"/>
  <c r="L14" i="7"/>
  <c r="P14" i="7" s="1"/>
  <c r="L16" i="7"/>
  <c r="P16" i="7" s="1"/>
  <c r="L18" i="7"/>
  <c r="P18" i="7" s="1"/>
  <c r="L37" i="7"/>
  <c r="P37" i="7" s="1"/>
  <c r="L35" i="7"/>
  <c r="P35" i="7" s="1"/>
  <c r="L36" i="7"/>
  <c r="P36" i="7" s="1"/>
  <c r="L15" i="7"/>
  <c r="P15" i="7" s="1"/>
  <c r="L17" i="7"/>
  <c r="P17" i="7" s="1"/>
  <c r="L11" i="7"/>
  <c r="P11" i="7" s="1"/>
  <c r="L21" i="7"/>
  <c r="P21" i="7" s="1"/>
  <c r="L12" i="7"/>
  <c r="P12" i="7" s="1"/>
  <c r="P50" i="6"/>
  <c r="P49" i="6"/>
  <c r="P48" i="6"/>
  <c r="P46" i="6"/>
  <c r="P55" i="6"/>
  <c r="P59" i="6"/>
  <c r="P45" i="6"/>
  <c r="P51" i="6"/>
  <c r="P47" i="6"/>
  <c r="P56" i="6"/>
  <c r="P52" i="6"/>
  <c r="P58" i="6"/>
  <c r="K11" i="3"/>
  <c r="K12" i="3"/>
  <c r="K13" i="3"/>
  <c r="J4" i="3"/>
  <c r="K4" i="3"/>
  <c r="J5" i="3"/>
  <c r="K5" i="3"/>
  <c r="I9" i="3"/>
  <c r="P36" i="9"/>
  <c r="P38" i="9"/>
  <c r="P39" i="9"/>
  <c r="P48" i="8"/>
  <c r="P23" i="11"/>
  <c r="P85" i="11"/>
  <c r="P33" i="11"/>
  <c r="P22" i="11"/>
  <c r="P13" i="11"/>
  <c r="P86" i="11"/>
  <c r="P41" i="11"/>
  <c r="P32" i="11"/>
  <c r="P39" i="13"/>
  <c r="L5" i="3"/>
  <c r="P5" i="3" s="1"/>
  <c r="J12" i="3"/>
  <c r="J13" i="3"/>
  <c r="J14" i="3"/>
  <c r="L29" i="3"/>
  <c r="P29" i="3" s="1"/>
  <c r="L30" i="3"/>
  <c r="P30" i="3" s="1"/>
  <c r="L35" i="3"/>
  <c r="P35" i="3" s="1"/>
  <c r="L36" i="3"/>
  <c r="P36" i="3" s="1"/>
  <c r="L37" i="3"/>
  <c r="P37" i="3" s="1"/>
  <c r="L38" i="3"/>
  <c r="P38" i="3" s="1"/>
  <c r="L39" i="3"/>
  <c r="P39" i="3" s="1"/>
  <c r="L14" i="3"/>
  <c r="P14" i="3" s="1"/>
  <c r="L15" i="3"/>
  <c r="P15" i="3" s="1"/>
  <c r="L16" i="3"/>
  <c r="P16" i="3" s="1"/>
  <c r="H86" i="3"/>
  <c r="I86" i="3"/>
  <c r="J86" i="3"/>
  <c r="K86" i="3"/>
  <c r="J56" i="3"/>
  <c r="L56" i="3" s="1"/>
  <c r="P56" i="3" s="1"/>
  <c r="J55" i="3"/>
  <c r="L55" i="3" s="1"/>
  <c r="P55" i="3" s="1"/>
  <c r="K84" i="3"/>
  <c r="J84" i="3"/>
  <c r="I84" i="3"/>
  <c r="H84" i="3"/>
  <c r="K83" i="3"/>
  <c r="J83" i="3"/>
  <c r="I83" i="3"/>
  <c r="H83" i="3"/>
  <c r="K85" i="3"/>
  <c r="J85" i="3"/>
  <c r="I85" i="3"/>
  <c r="H85" i="3"/>
  <c r="J81" i="3"/>
  <c r="I81" i="3"/>
  <c r="H81" i="3"/>
  <c r="K80" i="3"/>
  <c r="J80" i="3"/>
  <c r="I80" i="3"/>
  <c r="H80" i="3"/>
  <c r="K79" i="3"/>
  <c r="J79" i="3"/>
  <c r="I79" i="3"/>
  <c r="H79" i="3"/>
  <c r="K78" i="3"/>
  <c r="J78" i="3"/>
  <c r="I78" i="3"/>
  <c r="H78" i="3"/>
  <c r="K77" i="3"/>
  <c r="J77" i="3"/>
  <c r="I77" i="3"/>
  <c r="H77" i="3"/>
  <c r="K76" i="3"/>
  <c r="J76" i="3"/>
  <c r="I76" i="3"/>
  <c r="H76" i="3"/>
  <c r="K75" i="3"/>
  <c r="J75" i="3"/>
  <c r="I75" i="3"/>
  <c r="H75" i="3"/>
  <c r="K74" i="3"/>
  <c r="J74" i="3"/>
  <c r="I74" i="3"/>
  <c r="H74" i="3"/>
  <c r="K73" i="3"/>
  <c r="J73" i="3"/>
  <c r="I73" i="3"/>
  <c r="H73" i="3"/>
  <c r="K72" i="3"/>
  <c r="J72" i="3"/>
  <c r="I72" i="3"/>
  <c r="H72" i="3"/>
  <c r="K71" i="3"/>
  <c r="J71" i="3"/>
  <c r="I71" i="3"/>
  <c r="H71" i="3"/>
  <c r="K59" i="3"/>
  <c r="J59" i="3"/>
  <c r="I59" i="3"/>
  <c r="J58" i="3"/>
  <c r="L58" i="3" s="1"/>
  <c r="P58" i="3" s="1"/>
  <c r="K54" i="3"/>
  <c r="J54" i="3"/>
  <c r="I54" i="3"/>
  <c r="H54" i="3"/>
  <c r="K53" i="3"/>
  <c r="J52" i="3"/>
  <c r="I52" i="3"/>
  <c r="H53" i="3"/>
  <c r="H52" i="3"/>
  <c r="H51" i="3"/>
  <c r="L51" i="3" s="1"/>
  <c r="P51" i="3" s="1"/>
  <c r="K50" i="3"/>
  <c r="J50" i="3"/>
  <c r="K49" i="3"/>
  <c r="J49" i="3"/>
  <c r="K48" i="3"/>
  <c r="J48" i="3"/>
  <c r="J47" i="3"/>
  <c r="H48" i="3"/>
  <c r="H47" i="3"/>
  <c r="J45" i="3"/>
  <c r="K45" i="3"/>
  <c r="J46" i="3"/>
  <c r="K46" i="3"/>
  <c r="H45" i="3"/>
  <c r="H38" i="3"/>
  <c r="I38" i="3"/>
  <c r="J38" i="3"/>
  <c r="K38" i="3"/>
  <c r="H39" i="3"/>
  <c r="I39" i="3"/>
  <c r="J39" i="3"/>
  <c r="K39" i="3"/>
  <c r="H41" i="3"/>
  <c r="I41" i="3"/>
  <c r="J41" i="3"/>
  <c r="K41" i="3"/>
  <c r="K37" i="3"/>
  <c r="J37" i="3"/>
  <c r="I37" i="3"/>
  <c r="H37" i="3"/>
  <c r="K36" i="3"/>
  <c r="J36" i="3"/>
  <c r="I36" i="3"/>
  <c r="H36" i="3"/>
  <c r="K35" i="3"/>
  <c r="J35" i="3"/>
  <c r="I35" i="3"/>
  <c r="H35" i="3"/>
  <c r="H30" i="3"/>
  <c r="I30" i="3"/>
  <c r="J30" i="3"/>
  <c r="K30" i="3"/>
  <c r="H31" i="3"/>
  <c r="I31" i="3"/>
  <c r="J31" i="3"/>
  <c r="K31" i="3"/>
  <c r="L31" i="3"/>
  <c r="P31" i="3" s="1"/>
  <c r="H32" i="3"/>
  <c r="I32" i="3"/>
  <c r="J32" i="3"/>
  <c r="K32" i="3"/>
  <c r="H33" i="3"/>
  <c r="I33" i="3"/>
  <c r="J33" i="3"/>
  <c r="K33" i="3"/>
  <c r="H34" i="3"/>
  <c r="I34" i="3"/>
  <c r="J34" i="3"/>
  <c r="K34" i="3"/>
  <c r="K29" i="3"/>
  <c r="J29" i="3"/>
  <c r="I29" i="3"/>
  <c r="H29" i="3"/>
  <c r="I22" i="3"/>
  <c r="J22" i="3"/>
  <c r="K22" i="3"/>
  <c r="I23" i="3"/>
  <c r="J23" i="3"/>
  <c r="K23" i="3"/>
  <c r="H23" i="3"/>
  <c r="H22" i="3"/>
  <c r="I19" i="3"/>
  <c r="I20" i="3"/>
  <c r="J20" i="3"/>
  <c r="K20" i="3"/>
  <c r="I21" i="3"/>
  <c r="J21" i="3"/>
  <c r="K21" i="3"/>
  <c r="H20" i="3"/>
  <c r="H21" i="3"/>
  <c r="H19" i="3"/>
  <c r="I17" i="3"/>
  <c r="J17" i="3"/>
  <c r="K17" i="3"/>
  <c r="I18" i="3"/>
  <c r="J18" i="3"/>
  <c r="K18" i="3"/>
  <c r="H18" i="3"/>
  <c r="L18" i="3"/>
  <c r="P18" i="3" s="1"/>
  <c r="H17" i="3"/>
  <c r="L17" i="3"/>
  <c r="P17" i="3" s="1"/>
  <c r="K10" i="3"/>
  <c r="K14" i="3"/>
  <c r="J15" i="3"/>
  <c r="K15" i="3"/>
  <c r="J16" i="3"/>
  <c r="K16" i="3"/>
  <c r="J10" i="3"/>
  <c r="I10" i="3"/>
  <c r="I11" i="3"/>
  <c r="I12" i="3"/>
  <c r="I13" i="3"/>
  <c r="I14" i="3"/>
  <c r="I15" i="3"/>
  <c r="I16" i="3"/>
  <c r="H11" i="3"/>
  <c r="H12" i="3"/>
  <c r="H13" i="3"/>
  <c r="H14" i="3"/>
  <c r="H15" i="3"/>
  <c r="H16" i="3"/>
  <c r="H10" i="3"/>
  <c r="L10" i="3"/>
  <c r="P10" i="3" s="1"/>
  <c r="L20" i="3"/>
  <c r="P20" i="3" s="1"/>
  <c r="L33" i="3"/>
  <c r="P33" i="3" s="1"/>
  <c r="L21" i="3"/>
  <c r="P21" i="3" s="1"/>
  <c r="L34" i="3"/>
  <c r="P34" i="3" s="1"/>
  <c r="L32" i="3"/>
  <c r="P32" i="3" s="1"/>
  <c r="L41" i="3"/>
  <c r="P41" i="3" s="1"/>
  <c r="L11" i="3"/>
  <c r="P11" i="3" s="1"/>
  <c r="R41" i="2"/>
  <c r="Q4" i="2"/>
  <c r="R4" i="2"/>
  <c r="Q5" i="2"/>
  <c r="R5" i="2"/>
  <c r="Q6" i="2"/>
  <c r="R6" i="2"/>
  <c r="Q7" i="2"/>
  <c r="R7" i="2"/>
  <c r="Q8" i="2"/>
  <c r="R8" i="2"/>
  <c r="Q9" i="2"/>
  <c r="R9" i="2"/>
  <c r="Q10" i="2"/>
  <c r="R10" i="2"/>
  <c r="Q11" i="2"/>
  <c r="R11" i="2"/>
  <c r="Q12" i="2"/>
  <c r="R12" i="2"/>
  <c r="Q13" i="2"/>
  <c r="R13" i="2"/>
  <c r="Q14" i="2"/>
  <c r="R14" i="2"/>
  <c r="Q15" i="2"/>
  <c r="R15" i="2"/>
  <c r="Q16" i="2"/>
  <c r="R16" i="2"/>
  <c r="Q17" i="2"/>
  <c r="R17" i="2"/>
  <c r="Q18" i="2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2" i="2"/>
  <c r="R42" i="2"/>
  <c r="Q44" i="2"/>
  <c r="R44" i="2"/>
  <c r="Q45" i="2"/>
  <c r="R45" i="2"/>
  <c r="Q46" i="2"/>
  <c r="R46" i="2"/>
  <c r="Q47" i="2"/>
  <c r="R47" i="2"/>
  <c r="Q48" i="2"/>
  <c r="R48" i="2"/>
  <c r="Q49" i="2"/>
  <c r="R49" i="2"/>
  <c r="R50" i="2"/>
  <c r="R51" i="2"/>
  <c r="Q52" i="2"/>
  <c r="R52" i="2"/>
  <c r="Q53" i="2"/>
  <c r="R53" i="2"/>
  <c r="Q54" i="2"/>
  <c r="R54" i="2"/>
  <c r="Q55" i="2"/>
  <c r="R55" i="2"/>
  <c r="R56" i="2"/>
  <c r="R57" i="2"/>
  <c r="Q58" i="2"/>
  <c r="R58" i="2"/>
  <c r="Q59" i="2"/>
  <c r="R59" i="2"/>
  <c r="Q60" i="2"/>
  <c r="R60" i="2"/>
  <c r="Q61" i="2"/>
  <c r="R61" i="2"/>
  <c r="Q3" i="2"/>
  <c r="R3" i="2"/>
  <c r="Q26" i="9" l="1"/>
  <c r="Q26" i="13"/>
  <c r="Q26" i="6"/>
  <c r="Q26" i="11"/>
  <c r="L81" i="20"/>
  <c r="P81" i="20" s="1"/>
  <c r="L50" i="7"/>
  <c r="P50" i="7" s="1"/>
  <c r="L55" i="8"/>
  <c r="P55" i="8" s="1"/>
  <c r="L48" i="12"/>
  <c r="L53" i="11"/>
  <c r="P53" i="11" s="1"/>
  <c r="L51" i="14"/>
  <c r="P51" i="14" s="1"/>
  <c r="L80" i="11"/>
  <c r="P80" i="11" s="1"/>
  <c r="L11" i="9"/>
  <c r="P11" i="9" s="1"/>
  <c r="L49" i="13"/>
  <c r="P49" i="13" s="1"/>
  <c r="L29" i="20"/>
  <c r="P29" i="20" s="1"/>
  <c r="L81" i="11"/>
  <c r="P81" i="11" s="1"/>
  <c r="L77" i="11"/>
  <c r="P77" i="11" s="1"/>
  <c r="L50" i="11"/>
  <c r="P50" i="11" s="1"/>
  <c r="L74" i="11"/>
  <c r="P74" i="11" s="1"/>
  <c r="P73" i="12"/>
  <c r="L54" i="11"/>
  <c r="P54" i="11" s="1"/>
  <c r="L22" i="12"/>
  <c r="P22" i="12" s="1"/>
  <c r="L83" i="12"/>
  <c r="P83" i="12" s="1"/>
  <c r="L45" i="7"/>
  <c r="P45" i="7" s="1"/>
  <c r="L20" i="8"/>
  <c r="P20" i="8" s="1"/>
  <c r="L79" i="20"/>
  <c r="P79" i="20" s="1"/>
  <c r="L19" i="9"/>
  <c r="P19" i="9" s="1"/>
  <c r="L4" i="3"/>
  <c r="P4" i="3" s="1"/>
  <c r="L4" i="9"/>
  <c r="P4" i="9" s="1"/>
  <c r="L32" i="9"/>
  <c r="P32" i="9" s="1"/>
  <c r="L46" i="9"/>
  <c r="P46" i="9" s="1"/>
  <c r="L55" i="9"/>
  <c r="P55" i="9" s="1"/>
  <c r="L10" i="12"/>
  <c r="P10" i="12" s="1"/>
  <c r="L67" i="3"/>
  <c r="P67" i="3" s="1"/>
  <c r="L61" i="13"/>
  <c r="P61" i="13" s="1"/>
  <c r="L62" i="14"/>
  <c r="P62" i="14" s="1"/>
  <c r="L83" i="14"/>
  <c r="P83" i="14" s="1"/>
  <c r="L3" i="14"/>
  <c r="P3" i="14" s="1"/>
  <c r="P26" i="14" s="1"/>
  <c r="L65" i="11"/>
  <c r="P65" i="11" s="1"/>
  <c r="L59" i="14"/>
  <c r="P59" i="14" s="1"/>
  <c r="L47" i="13"/>
  <c r="P47" i="13" s="1"/>
  <c r="L5" i="11"/>
  <c r="P5" i="11" s="1"/>
  <c r="L4" i="13"/>
  <c r="P4" i="13" s="1"/>
  <c r="L10" i="13"/>
  <c r="P10" i="13" s="1"/>
  <c r="L18" i="13"/>
  <c r="P18" i="13" s="1"/>
  <c r="L60" i="14"/>
  <c r="P60" i="14" s="1"/>
  <c r="L83" i="13"/>
  <c r="P83" i="13" s="1"/>
  <c r="L34" i="9"/>
  <c r="P34" i="9" s="1"/>
  <c r="L49" i="9"/>
  <c r="P49" i="9" s="1"/>
  <c r="L11" i="11"/>
  <c r="P11" i="11" s="1"/>
  <c r="L20" i="11"/>
  <c r="P20" i="11" s="1"/>
  <c r="L38" i="11"/>
  <c r="P38" i="11" s="1"/>
  <c r="L11" i="13"/>
  <c r="P11" i="13" s="1"/>
  <c r="L6" i="13"/>
  <c r="P6" i="13" s="1"/>
  <c r="L35" i="20"/>
  <c r="P35" i="20" s="1"/>
  <c r="L6" i="20"/>
  <c r="L48" i="3"/>
  <c r="P48" i="3" s="1"/>
  <c r="L18" i="8"/>
  <c r="P18" i="8" s="1"/>
  <c r="L17" i="20"/>
  <c r="P17" i="20" s="1"/>
  <c r="L8" i="3"/>
  <c r="P8" i="3" s="1"/>
  <c r="L48" i="14"/>
  <c r="P48" i="14" s="1"/>
  <c r="L58" i="14"/>
  <c r="P58" i="14" s="1"/>
  <c r="L4" i="7"/>
  <c r="P4" i="7" s="1"/>
  <c r="L65" i="8"/>
  <c r="P65" i="8" s="1"/>
  <c r="L19" i="3"/>
  <c r="P19" i="3" s="1"/>
  <c r="L59" i="20"/>
  <c r="P59" i="20" s="1"/>
  <c r="L8" i="13"/>
  <c r="P8" i="13" s="1"/>
  <c r="L29" i="8"/>
  <c r="P29" i="8" s="1"/>
  <c r="P42" i="8" s="1"/>
  <c r="F11" i="25" s="1"/>
  <c r="L50" i="8"/>
  <c r="P50" i="8" s="1"/>
  <c r="L58" i="8"/>
  <c r="P58" i="8" s="1"/>
  <c r="L4" i="11"/>
  <c r="P4" i="11" s="1"/>
  <c r="L14" i="11"/>
  <c r="P14" i="11" s="1"/>
  <c r="L5" i="12"/>
  <c r="P5" i="12" s="1"/>
  <c r="L11" i="12"/>
  <c r="P11" i="12" s="1"/>
  <c r="L20" i="12"/>
  <c r="P20" i="12" s="1"/>
  <c r="L34" i="13"/>
  <c r="P34" i="13" s="1"/>
  <c r="L45" i="13"/>
  <c r="P45" i="13" s="1"/>
  <c r="L3" i="3"/>
  <c r="P3" i="3" s="1"/>
  <c r="P26" i="3" s="1"/>
  <c r="L82" i="9"/>
  <c r="P82" i="9" s="1"/>
  <c r="L10" i="20"/>
  <c r="P10" i="20" s="1"/>
  <c r="L45" i="20"/>
  <c r="P45" i="20" s="1"/>
  <c r="L49" i="20"/>
  <c r="P49" i="20" s="1"/>
  <c r="L38" i="20"/>
  <c r="P38" i="20" s="1"/>
  <c r="L31" i="20"/>
  <c r="P31" i="20" s="1"/>
  <c r="L60" i="11"/>
  <c r="P60" i="11" s="1"/>
  <c r="P15" i="8"/>
  <c r="L46" i="3"/>
  <c r="P46" i="3" s="1"/>
  <c r="L59" i="13"/>
  <c r="P59" i="13" s="1"/>
  <c r="L31" i="14"/>
  <c r="L46" i="14"/>
  <c r="P46" i="14" s="1"/>
  <c r="L49" i="14"/>
  <c r="P49" i="14" s="1"/>
  <c r="L72" i="14"/>
  <c r="P72" i="14" s="1"/>
  <c r="L3" i="7"/>
  <c r="P3" i="7" s="1"/>
  <c r="P26" i="7" s="1"/>
  <c r="L60" i="8"/>
  <c r="P60" i="8" s="1"/>
  <c r="L21" i="20"/>
  <c r="P21" i="20" s="1"/>
  <c r="L9" i="7"/>
  <c r="P9" i="7" s="1"/>
  <c r="L39" i="7"/>
  <c r="P39" i="7" s="1"/>
  <c r="L51" i="8"/>
  <c r="P51" i="8" s="1"/>
  <c r="L9" i="12"/>
  <c r="P9" i="12" s="1"/>
  <c r="L35" i="13"/>
  <c r="P35" i="13" s="1"/>
  <c r="L46" i="13"/>
  <c r="P46" i="13" s="1"/>
  <c r="L50" i="13"/>
  <c r="P50" i="13" s="1"/>
  <c r="L56" i="13"/>
  <c r="P56" i="13" s="1"/>
  <c r="L20" i="14"/>
  <c r="P20" i="14" s="1"/>
  <c r="L61" i="14"/>
  <c r="P61" i="14" s="1"/>
  <c r="L50" i="20"/>
  <c r="P50" i="20" s="1"/>
  <c r="L83" i="20"/>
  <c r="P83" i="20" s="1"/>
  <c r="L7" i="9"/>
  <c r="L76" i="11"/>
  <c r="P76" i="11" s="1"/>
  <c r="P72" i="11"/>
  <c r="L51" i="13"/>
  <c r="P51" i="13" s="1"/>
  <c r="L4" i="14"/>
  <c r="P4" i="14" s="1"/>
  <c r="L50" i="14"/>
  <c r="P50" i="14" s="1"/>
  <c r="L67" i="13"/>
  <c r="P67" i="13" s="1"/>
  <c r="L47" i="20"/>
  <c r="P47" i="20" s="1"/>
  <c r="L74" i="20"/>
  <c r="P74" i="20" s="1"/>
  <c r="L62" i="11"/>
  <c r="P62" i="11" s="1"/>
  <c r="L48" i="11"/>
  <c r="P48" i="11" s="1"/>
  <c r="L45" i="11"/>
  <c r="P45" i="11" s="1"/>
  <c r="L34" i="20"/>
  <c r="P34" i="20" s="1"/>
  <c r="L63" i="20"/>
  <c r="P63" i="20" s="1"/>
  <c r="L61" i="11"/>
  <c r="P61" i="11" s="1"/>
  <c r="L29" i="9"/>
  <c r="P29" i="9" s="1"/>
  <c r="L20" i="20"/>
  <c r="P20" i="20" s="1"/>
  <c r="L67" i="11"/>
  <c r="P67" i="11" s="1"/>
  <c r="L59" i="8"/>
  <c r="P59" i="8" s="1"/>
  <c r="L52" i="14"/>
  <c r="P52" i="14" s="1"/>
  <c r="L73" i="14"/>
  <c r="P73" i="14" s="1"/>
  <c r="L65" i="3"/>
  <c r="P65" i="3" s="1"/>
  <c r="L38" i="7"/>
  <c r="P38" i="7" s="1"/>
  <c r="L59" i="11"/>
  <c r="P59" i="11" s="1"/>
  <c r="L56" i="11"/>
  <c r="P56" i="11" s="1"/>
  <c r="L49" i="11"/>
  <c r="P49" i="11" s="1"/>
  <c r="L55" i="7"/>
  <c r="P55" i="7" s="1"/>
  <c r="L75" i="20"/>
  <c r="P75" i="20" s="1"/>
  <c r="L45" i="12"/>
  <c r="P45" i="12" s="1"/>
  <c r="L79" i="11"/>
  <c r="P79" i="11" s="1"/>
  <c r="L72" i="8"/>
  <c r="P72" i="8" s="1"/>
  <c r="L67" i="9"/>
  <c r="P67" i="9" s="1"/>
  <c r="L4" i="12"/>
  <c r="P4" i="12" s="1"/>
  <c r="L16" i="9"/>
  <c r="P16" i="9" s="1"/>
  <c r="L61" i="9"/>
  <c r="P61" i="9" s="1"/>
  <c r="L7" i="3"/>
  <c r="P7" i="3" s="1"/>
  <c r="L71" i="11"/>
  <c r="P71" i="11" s="1"/>
  <c r="L47" i="3"/>
  <c r="P47" i="3" s="1"/>
  <c r="L47" i="9"/>
  <c r="P47" i="9" s="1"/>
  <c r="L48" i="13"/>
  <c r="P48" i="13" s="1"/>
  <c r="L52" i="13"/>
  <c r="P52" i="13" s="1"/>
  <c r="L60" i="13"/>
  <c r="P60" i="13" s="1"/>
  <c r="L46" i="20"/>
  <c r="P46" i="20" s="1"/>
  <c r="L60" i="20"/>
  <c r="P60" i="20" s="1"/>
  <c r="L3" i="13"/>
  <c r="P3" i="13" s="1"/>
  <c r="L30" i="20"/>
  <c r="P30" i="20" s="1"/>
  <c r="L31" i="9"/>
  <c r="P31" i="9" s="1"/>
  <c r="L62" i="8"/>
  <c r="P62" i="8" s="1"/>
  <c r="L77" i="9"/>
  <c r="P77" i="9" s="1"/>
  <c r="L31" i="11"/>
  <c r="P31" i="11" s="1"/>
  <c r="L18" i="9"/>
  <c r="P18" i="9" s="1"/>
  <c r="L45" i="9"/>
  <c r="P45" i="9" s="1"/>
  <c r="L48" i="7"/>
  <c r="P48" i="7" s="1"/>
  <c r="L62" i="3"/>
  <c r="P62" i="3" s="1"/>
  <c r="L62" i="20"/>
  <c r="P62" i="20" s="1"/>
  <c r="L65" i="20"/>
  <c r="P65" i="20" s="1"/>
  <c r="L59" i="3"/>
  <c r="P59" i="3" s="1"/>
  <c r="L50" i="3"/>
  <c r="P50" i="3" s="1"/>
  <c r="L47" i="7"/>
  <c r="P47" i="7" s="1"/>
  <c r="L51" i="7"/>
  <c r="P51" i="7" s="1"/>
  <c r="L49" i="8"/>
  <c r="P49" i="8" s="1"/>
  <c r="L48" i="9"/>
  <c r="P48" i="9" s="1"/>
  <c r="L47" i="14"/>
  <c r="P47" i="14" s="1"/>
  <c r="L60" i="7"/>
  <c r="P60" i="7" s="1"/>
  <c r="L64" i="8"/>
  <c r="P64" i="8" s="1"/>
  <c r="L37" i="20"/>
  <c r="L56" i="20"/>
  <c r="P56" i="20" s="1"/>
  <c r="L78" i="20"/>
  <c r="P78" i="20" s="1"/>
  <c r="L82" i="20"/>
  <c r="P82" i="20" s="1"/>
  <c r="L6" i="3"/>
  <c r="P6" i="3" s="1"/>
  <c r="P73" i="11"/>
  <c r="L45" i="3"/>
  <c r="P45" i="3" s="1"/>
  <c r="L62" i="7"/>
  <c r="P62" i="7" s="1"/>
  <c r="L62" i="13"/>
  <c r="P62" i="13" s="1"/>
  <c r="L11" i="20"/>
  <c r="P11" i="20" s="1"/>
  <c r="L52" i="20"/>
  <c r="P52" i="20" s="1"/>
  <c r="L38" i="14"/>
  <c r="L3" i="20"/>
  <c r="P3" i="20" s="1"/>
  <c r="L71" i="8"/>
  <c r="P71" i="8" s="1"/>
  <c r="L55" i="14"/>
  <c r="P55" i="14" s="1"/>
  <c r="L61" i="3"/>
  <c r="P61" i="3" s="1"/>
  <c r="L67" i="8"/>
  <c r="P67" i="8" s="1"/>
  <c r="L67" i="14"/>
  <c r="P67" i="14" s="1"/>
  <c r="L65" i="14"/>
  <c r="P65" i="14" s="1"/>
  <c r="L48" i="20"/>
  <c r="P48" i="20" s="1"/>
  <c r="L82" i="11"/>
  <c r="P82" i="11" s="1"/>
  <c r="L78" i="11"/>
  <c r="P78" i="11" s="1"/>
  <c r="L75" i="11"/>
  <c r="P75" i="11" s="1"/>
  <c r="L52" i="3"/>
  <c r="P52" i="3" s="1"/>
  <c r="L9" i="3"/>
  <c r="P9" i="3" s="1"/>
  <c r="L60" i="3"/>
  <c r="P60" i="3" s="1"/>
  <c r="L61" i="8"/>
  <c r="P61" i="8" s="1"/>
  <c r="L80" i="20"/>
  <c r="P80" i="20" s="1"/>
  <c r="L5" i="20"/>
  <c r="L52" i="11"/>
  <c r="P52" i="11" s="1"/>
  <c r="L49" i="7"/>
  <c r="P49" i="7" s="1"/>
  <c r="L59" i="7"/>
  <c r="P59" i="7" s="1"/>
  <c r="L77" i="8"/>
  <c r="P77" i="8" s="1"/>
  <c r="L51" i="9"/>
  <c r="P51" i="9" s="1"/>
  <c r="L59" i="9"/>
  <c r="P59" i="9" s="1"/>
  <c r="L56" i="14"/>
  <c r="P56" i="14" s="1"/>
  <c r="L61" i="7"/>
  <c r="P61" i="7" s="1"/>
  <c r="L60" i="9"/>
  <c r="P60" i="9" s="1"/>
  <c r="L64" i="20"/>
  <c r="P64" i="20" s="1"/>
  <c r="L8" i="8"/>
  <c r="P8" i="8" s="1"/>
  <c r="L64" i="11"/>
  <c r="P64" i="11" s="1"/>
  <c r="L55" i="11"/>
  <c r="P55" i="11" s="1"/>
  <c r="L46" i="11"/>
  <c r="P46" i="11" s="1"/>
  <c r="L49" i="3"/>
  <c r="P49" i="3" s="1"/>
  <c r="L77" i="7"/>
  <c r="P77" i="7" s="1"/>
  <c r="L15" i="8"/>
  <c r="L9" i="13"/>
  <c r="P9" i="13" s="1"/>
  <c r="L29" i="13"/>
  <c r="P29" i="13" s="1"/>
  <c r="P42" i="13" s="1"/>
  <c r="F6" i="25" s="1"/>
  <c r="L62" i="9"/>
  <c r="P62" i="9" s="1"/>
  <c r="L65" i="13"/>
  <c r="P65" i="13" s="1"/>
  <c r="L55" i="20"/>
  <c r="P55" i="20" s="1"/>
  <c r="L6" i="8"/>
  <c r="P6" i="8" s="1"/>
  <c r="L8" i="9"/>
  <c r="P8" i="9" s="1"/>
  <c r="L8" i="20"/>
  <c r="P8" i="20" s="1"/>
  <c r="L7" i="13"/>
  <c r="P7" i="13" s="1"/>
  <c r="L6" i="17"/>
  <c r="E15" i="25" s="1"/>
  <c r="L18" i="17"/>
  <c r="I15" i="25" s="1"/>
  <c r="L52" i="7"/>
  <c r="P52" i="7" s="1"/>
  <c r="L46" i="7"/>
  <c r="P46" i="7" s="1"/>
  <c r="L46" i="8"/>
  <c r="P46" i="8" s="1"/>
  <c r="L56" i="8"/>
  <c r="P56" i="8" s="1"/>
  <c r="L74" i="8"/>
  <c r="P74" i="8" s="1"/>
  <c r="L35" i="9"/>
  <c r="P35" i="9" s="1"/>
  <c r="L4" i="20"/>
  <c r="P4" i="20" s="1"/>
  <c r="L82" i="14"/>
  <c r="P82" i="14" s="1"/>
  <c r="L18" i="20"/>
  <c r="P18" i="20" s="1"/>
  <c r="L16" i="8"/>
  <c r="P16" i="8" s="1"/>
  <c r="Q88" i="13"/>
  <c r="L3" i="8"/>
  <c r="L3" i="9"/>
  <c r="P6" i="11"/>
  <c r="P7" i="11"/>
  <c r="L55" i="12"/>
  <c r="L56" i="12"/>
  <c r="P56" i="12" s="1"/>
  <c r="L46" i="12"/>
  <c r="P46" i="12" s="1"/>
  <c r="L47" i="12"/>
  <c r="L65" i="12"/>
  <c r="L53" i="12"/>
  <c r="L60" i="12"/>
  <c r="P48" i="12"/>
  <c r="L50" i="12"/>
  <c r="P68" i="12"/>
  <c r="L51" i="12"/>
  <c r="L62" i="12"/>
  <c r="L78" i="12"/>
  <c r="L54" i="12"/>
  <c r="L58" i="12"/>
  <c r="L49" i="12"/>
  <c r="L64" i="12"/>
  <c r="L59" i="12"/>
  <c r="L67" i="12"/>
  <c r="L61" i="12"/>
  <c r="P35" i="12"/>
  <c r="P30" i="12"/>
  <c r="P33" i="12"/>
  <c r="P39" i="12"/>
  <c r="L38" i="12"/>
  <c r="P36" i="12"/>
  <c r="L31" i="12"/>
  <c r="P29" i="12"/>
  <c r="P7" i="12"/>
  <c r="P8" i="12"/>
  <c r="P6" i="12"/>
  <c r="P88" i="6"/>
  <c r="H14" i="25" s="1"/>
  <c r="Q88" i="8"/>
  <c r="Q26" i="12"/>
  <c r="Q88" i="9"/>
  <c r="Q26" i="14"/>
  <c r="Q88" i="11"/>
  <c r="Q42" i="13"/>
  <c r="Q26" i="8"/>
  <c r="Q42" i="11"/>
  <c r="Q88" i="20"/>
  <c r="Q88" i="6"/>
  <c r="Q26" i="20"/>
  <c r="P42" i="6"/>
  <c r="F14" i="25" s="1"/>
  <c r="Q42" i="12"/>
  <c r="Q26" i="3"/>
  <c r="P42" i="3"/>
  <c r="F13" i="25" s="1"/>
  <c r="Q26" i="7"/>
  <c r="P26" i="20" l="1"/>
  <c r="D9" i="25" s="1"/>
  <c r="P26" i="13"/>
  <c r="D6" i="25" s="1"/>
  <c r="P26" i="11"/>
  <c r="L14" i="17"/>
  <c r="G15" i="25" s="1"/>
  <c r="H15" i="25"/>
  <c r="P42" i="9"/>
  <c r="F10" i="25" s="1"/>
  <c r="D5" i="25"/>
  <c r="P42" i="20"/>
  <c r="F9" i="25" s="1"/>
  <c r="P42" i="11"/>
  <c r="F8" i="25" s="1"/>
  <c r="P42" i="14"/>
  <c r="F5" i="25" s="1"/>
  <c r="P88" i="3"/>
  <c r="H13" i="25" s="1"/>
  <c r="P88" i="13"/>
  <c r="P88" i="8"/>
  <c r="H11" i="25" s="1"/>
  <c r="P88" i="20"/>
  <c r="H9" i="25" s="1"/>
  <c r="P42" i="7"/>
  <c r="F12" i="25" s="1"/>
  <c r="P27" i="3"/>
  <c r="C13" i="25" s="1"/>
  <c r="P88" i="9"/>
  <c r="P88" i="11"/>
  <c r="H8" i="25" s="1"/>
  <c r="P88" i="14"/>
  <c r="H5" i="25" s="1"/>
  <c r="P88" i="7"/>
  <c r="H12" i="25" s="1"/>
  <c r="P27" i="14"/>
  <c r="C5" i="25" s="1"/>
  <c r="D8" i="25"/>
  <c r="P27" i="7"/>
  <c r="C12" i="25" s="1"/>
  <c r="D12" i="25"/>
  <c r="P3" i="8"/>
  <c r="P3" i="9"/>
  <c r="P55" i="12"/>
  <c r="P49" i="12"/>
  <c r="P50" i="12"/>
  <c r="P58" i="12"/>
  <c r="P78" i="12"/>
  <c r="P60" i="12"/>
  <c r="P61" i="12"/>
  <c r="P53" i="12"/>
  <c r="P67" i="12"/>
  <c r="P66" i="12"/>
  <c r="P54" i="12"/>
  <c r="P59" i="12"/>
  <c r="P62" i="12"/>
  <c r="P64" i="12"/>
  <c r="P51" i="12"/>
  <c r="P65" i="12"/>
  <c r="P72" i="12"/>
  <c r="P47" i="12"/>
  <c r="P14" i="12"/>
  <c r="P43" i="13"/>
  <c r="E6" i="25" s="1"/>
  <c r="P89" i="6"/>
  <c r="G14" i="25" s="1"/>
  <c r="P43" i="8"/>
  <c r="E11" i="25" s="1"/>
  <c r="P43" i="6"/>
  <c r="E14" i="25" s="1"/>
  <c r="P43" i="3"/>
  <c r="E13" i="25" s="1"/>
  <c r="P43" i="20"/>
  <c r="E9" i="25" s="1"/>
  <c r="I16" i="25"/>
  <c r="P27" i="13" l="1"/>
  <c r="C6" i="25" s="1"/>
  <c r="P43" i="9"/>
  <c r="E10" i="25" s="1"/>
  <c r="P26" i="9"/>
  <c r="D10" i="25" s="1"/>
  <c r="P26" i="8"/>
  <c r="D11" i="25" s="1"/>
  <c r="P26" i="12"/>
  <c r="D7" i="25" s="1"/>
  <c r="P89" i="7"/>
  <c r="G12" i="25" s="1"/>
  <c r="L20" i="17"/>
  <c r="K15" i="25" s="1"/>
  <c r="P89" i="13"/>
  <c r="G6" i="25" s="1"/>
  <c r="H6" i="25"/>
  <c r="P89" i="9"/>
  <c r="G10" i="25" s="1"/>
  <c r="H10" i="25"/>
  <c r="P89" i="3"/>
  <c r="G13" i="25" s="1"/>
  <c r="P43" i="14"/>
  <c r="E5" i="25" s="1"/>
  <c r="P43" i="11"/>
  <c r="E8" i="25" s="1"/>
  <c r="P89" i="20"/>
  <c r="G9" i="25" s="1"/>
  <c r="P27" i="20"/>
  <c r="C9" i="25" s="1"/>
  <c r="P89" i="8"/>
  <c r="G11" i="25" s="1"/>
  <c r="P42" i="12"/>
  <c r="F7" i="25" s="1"/>
  <c r="F16" i="25" s="1"/>
  <c r="P89" i="14"/>
  <c r="G5" i="25" s="1"/>
  <c r="D13" i="25"/>
  <c r="P89" i="11"/>
  <c r="G8" i="25" s="1"/>
  <c r="P43" i="7"/>
  <c r="E12" i="25" s="1"/>
  <c r="L24" i="17"/>
  <c r="L15" i="25" s="1"/>
  <c r="P27" i="11"/>
  <c r="C8" i="25" s="1"/>
  <c r="P27" i="9"/>
  <c r="C10" i="25" s="1"/>
  <c r="P88" i="12"/>
  <c r="H7" i="25" s="1"/>
  <c r="P27" i="8" l="1"/>
  <c r="P27" i="12"/>
  <c r="C7" i="25" s="1"/>
  <c r="P98" i="3"/>
  <c r="K13" i="25" s="1"/>
  <c r="P98" i="13"/>
  <c r="K6" i="25" s="1"/>
  <c r="P98" i="20"/>
  <c r="K9" i="25" s="1"/>
  <c r="P43" i="12"/>
  <c r="E7" i="25" s="1"/>
  <c r="E16" i="25" s="1"/>
  <c r="P98" i="14"/>
  <c r="K5" i="25" s="1"/>
  <c r="P98" i="7"/>
  <c r="K12" i="25" s="1"/>
  <c r="P98" i="9"/>
  <c r="K10" i="25" s="1"/>
  <c r="P98" i="11"/>
  <c r="K8" i="25" s="1"/>
  <c r="P98" i="8"/>
  <c r="K11" i="25" s="1"/>
  <c r="C11" i="25"/>
  <c r="H16" i="25"/>
  <c r="P89" i="12"/>
  <c r="P102" i="3" l="1"/>
  <c r="L13" i="25" s="1"/>
  <c r="P102" i="13"/>
  <c r="L6" i="25" s="1"/>
  <c r="P102" i="14"/>
  <c r="L5" i="25" s="1"/>
  <c r="P102" i="20"/>
  <c r="L9" i="25" s="1"/>
  <c r="P102" i="7"/>
  <c r="L12" i="25" s="1"/>
  <c r="P102" i="11"/>
  <c r="L8" i="25" s="1"/>
  <c r="P102" i="8"/>
  <c r="L11" i="25" s="1"/>
  <c r="P102" i="9"/>
  <c r="L10" i="25" s="1"/>
  <c r="P98" i="12"/>
  <c r="K7" i="25" s="1"/>
  <c r="G7" i="25"/>
  <c r="G16" i="25" s="1"/>
  <c r="P3" i="6"/>
  <c r="P16" i="6"/>
  <c r="P14" i="6"/>
  <c r="P11" i="6"/>
  <c r="P22" i="6"/>
  <c r="P10" i="6"/>
  <c r="P5" i="6"/>
  <c r="P19" i="6"/>
  <c r="P8" i="6"/>
  <c r="P17" i="6"/>
  <c r="P12" i="6"/>
  <c r="P20" i="6"/>
  <c r="P13" i="6"/>
  <c r="P4" i="6"/>
  <c r="P21" i="6"/>
  <c r="P15" i="6"/>
  <c r="P7" i="6"/>
  <c r="P6" i="6"/>
  <c r="P9" i="6"/>
  <c r="P18" i="6"/>
  <c r="P26" i="6" l="1"/>
  <c r="D14" i="25" s="1"/>
  <c r="P102" i="12"/>
  <c r="L7" i="25" s="1"/>
  <c r="D16" i="25" l="1"/>
  <c r="P27" i="6"/>
  <c r="C14" i="25" s="1"/>
  <c r="C16" i="25" l="1"/>
  <c r="P98" i="6"/>
  <c r="K14" i="25" s="1"/>
  <c r="K16" i="25" l="1"/>
  <c r="P102" i="6"/>
  <c r="L14" i="25" s="1"/>
  <c r="L16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tc={775D55EE-6E97-4F0B-B5D5-67F07DD65491}</author>
    <author>tc={D15B416C-5811-422E-827F-A8CF05AD6753}</author>
    <author>tc={DBECAA5D-2702-4BBC-92BB-1E58E08C79C4}</author>
    <author>tc={BE926B47-78F6-424C-9237-1D2971A9F7FD}</author>
    <author>tc={BBF1AF8C-5B3A-4D82-A1EE-C119544FA84B}</author>
    <author>tc={1413DD96-0858-4CBD-9E78-30B568796FA5}</author>
  </authors>
  <commentList>
    <comment ref="T1" authorId="0" shapeId="0" xr:uid="{775D55EE-6E97-4F0B-B5D5-67F07DD65491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L28" authorId="1" shapeId="0" xr:uid="{D15B416C-5811-422E-827F-A8CF05AD6753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29" authorId="2" shapeId="0" xr:uid="{DBECAA5D-2702-4BBC-92BB-1E58E08C79C4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30" authorId="3" shapeId="0" xr:uid="{BE926B47-78F6-424C-9237-1D2971A9F7FD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L31" authorId="4" shapeId="0" xr:uid="{BBF1AF8C-5B3A-4D82-A1EE-C119544FA84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K58" authorId="5" shapeId="0" xr:uid="{1413DD96-0858-4CBD-9E78-30B568796FA5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tc={66EBEE29-129A-44D9-A429-34DD11AD6CA4}</author>
    <author>tc={FF79F5D0-25B8-4145-B519-732EC7AC65FE}</author>
    <author>tc={5EEDEF50-4F62-404F-A345-B456B4FD091F}</author>
    <author>tc={03B38571-C5EB-4141-AA7A-DBBF8038A16B}</author>
    <author>tc={C3783828-F791-45F2-8E1E-3649DA785189}</author>
    <author>tc={D29F4B7D-9EB8-44B9-84CB-5D029CD13295}</author>
  </authors>
  <commentList>
    <comment ref="N1" authorId="0" shapeId="0" xr:uid="{66EBEE29-129A-44D9-A429-34DD11AD6CA4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G28" authorId="1" shapeId="0" xr:uid="{FF79F5D0-25B8-4145-B519-732EC7AC65FE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29" authorId="2" shapeId="0" xr:uid="{5EEDEF50-4F62-404F-A345-B456B4FD091F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0" authorId="3" shapeId="0" xr:uid="{03B38571-C5EB-4141-AA7A-DBBF8038A16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1" authorId="4" shapeId="0" xr:uid="{C3783828-F791-45F2-8E1E-3649DA785189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F59" authorId="5" shapeId="0" xr:uid="{D29F4B7D-9EB8-44B9-84CB-5D029CD13295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tc={DA553046-5F53-4286-8897-8E447273B235}</author>
    <author>tc={C6C16EE5-54BD-49F7-9B0C-2B9AE257D268}</author>
    <author>tc={120B650A-F7BE-4368-BF1D-EB839DB58960}</author>
    <author>tc={CBB7181E-E0A1-4362-BE5F-382DB478A146}</author>
    <author>tc={AE66C3BB-951C-45D1-BB7F-FDCA20CFBD61}</author>
    <author>tc={F3645F5C-B4F2-4FF0-A841-2A3E417B3F31}</author>
  </authors>
  <commentList>
    <comment ref="N1" authorId="0" shapeId="0" xr:uid="{DA553046-5F53-4286-8897-8E447273B235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G31" authorId="1" shapeId="0" xr:uid="{C6C16EE5-54BD-49F7-9B0C-2B9AE257D268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2" authorId="2" shapeId="0" xr:uid="{120B650A-F7BE-4368-BF1D-EB839DB58960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3" authorId="3" shapeId="0" xr:uid="{CBB7181E-E0A1-4362-BE5F-382DB478A146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G34" authorId="4" shapeId="0" xr:uid="{AE66C3BB-951C-45D1-BB7F-FDCA20CFBD61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F62" authorId="5" shapeId="0" xr:uid="{F3645F5C-B4F2-4FF0-A841-2A3E417B3F31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tc={A3625D9B-84FD-4A84-A931-4EEBEDC2B5ED}</author>
    <author>tc={BF288ACC-D5B1-4F8E-B1D9-09BD64D6424B}</author>
    <author>tc={1BF99D32-6E2A-47FA-B6FA-94E69BDA1577}</author>
    <author>tc={B88CB58C-81CE-4AEA-8C68-B4ED33B15813}</author>
    <author>tc={D3E24F7E-91B7-4DA7-B63E-4BBAB2A8814D}</author>
    <author>tc={8C38E4B1-AB22-4BD7-B15D-0F44587B0932}</author>
  </authors>
  <commentList>
    <comment ref="R1" authorId="0" shapeId="0" xr:uid="{A3625D9B-84FD-4A84-A931-4EEBEDC2B5ED}">
      <text>
        <t>[Threaded comment]
Your version of Excel allows you to read this threaded comment; however, any edits to it will get removed if the file is opened in a newer version of Excel. Learn more: https://go.microsoft.com/fwlink/?linkid=870924
Comment:
    Cena za realizaci bez projektové přípravy</t>
      </text>
    </comment>
    <comment ref="K26" authorId="1" shapeId="0" xr:uid="{BF288ACC-D5B1-4F8E-B1D9-09BD64D6424B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7" authorId="2" shapeId="0" xr:uid="{1BF99D32-6E2A-47FA-B6FA-94E69BDA1577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8" authorId="3" shapeId="0" xr:uid="{B88CB58C-81CE-4AEA-8C68-B4ED33B15813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(délka trasy x 2</t>
      </text>
    </comment>
    <comment ref="K29" authorId="4" shapeId="0" xr:uid="{D3E24F7E-91B7-4DA7-B63E-4BBAB2A8814D}">
      <text>
        <t>[Threaded comment]
Your version of Excel allows you to read this threaded comment; however, any edits to it will get removed if the file is opened in a newer version of Excel. Learn more: https://go.microsoft.com/fwlink/?linkid=870924
Comment:
    Běžný metr trubního rozvodu (= délka trasy)</t>
      </text>
    </comment>
    <comment ref="J47" authorId="5" shapeId="0" xr:uid="{8C38E4B1-AB22-4BD7-B15D-0F44587B0932}">
      <text>
        <t>[Threaded comment]
Your version of Excel allows you to read this threaded comment; however, any edits to it will get removed if the file is opened in a newer version of Excel. Learn more: https://go.microsoft.com/fwlink/?linkid=870924
Comment:
    Nenaceňujeme</t>
      </text>
    </comment>
  </commentList>
</comments>
</file>

<file path=xl/sharedStrings.xml><?xml version="1.0" encoding="utf-8"?>
<sst xmlns="http://schemas.openxmlformats.org/spreadsheetml/2006/main" count="8497" uniqueCount="868">
  <si>
    <t>Cenové náklady v tis. Kč po stavebních profesích a VD bez DPH</t>
  </si>
  <si>
    <t>Konstantní položky</t>
  </si>
  <si>
    <t>VD</t>
  </si>
  <si>
    <t>Název VD</t>
  </si>
  <si>
    <t>STA (INCL. PD)</t>
  </si>
  <si>
    <t>PD_STA</t>
  </si>
  <si>
    <t>STR (INCL PD)</t>
  </si>
  <si>
    <t>PD_STR</t>
  </si>
  <si>
    <t>ELE (INCL PD)</t>
  </si>
  <si>
    <t>PD_ELE</t>
  </si>
  <si>
    <t>TOTAL</t>
  </si>
  <si>
    <t>TOTAL (incl. risk)</t>
  </si>
  <si>
    <t>Položka</t>
  </si>
  <si>
    <t>Hodnota</t>
  </si>
  <si>
    <t>VLT01</t>
  </si>
  <si>
    <t>Hořín</t>
  </si>
  <si>
    <t>VLT02</t>
  </si>
  <si>
    <t>Vraňany</t>
  </si>
  <si>
    <t>Projektová dokumentace STA</t>
  </si>
  <si>
    <t>VLT03</t>
  </si>
  <si>
    <t>Miřejovice</t>
  </si>
  <si>
    <t>Projektová dokumentace STR</t>
  </si>
  <si>
    <t>VLT04</t>
  </si>
  <si>
    <t>Dolánky</t>
  </si>
  <si>
    <t>Projektová dokumentace ELE</t>
  </si>
  <si>
    <t>VLT05</t>
  </si>
  <si>
    <t>Roztoky</t>
  </si>
  <si>
    <t>VLT06</t>
  </si>
  <si>
    <t>Trója-Podbaba</t>
  </si>
  <si>
    <t>VLT07</t>
  </si>
  <si>
    <t>Štvanice</t>
  </si>
  <si>
    <t>VLT08</t>
  </si>
  <si>
    <t>Smíchov</t>
  </si>
  <si>
    <t>VLT09</t>
  </si>
  <si>
    <t>Modřany</t>
  </si>
  <si>
    <t>VLT10</t>
  </si>
  <si>
    <t>Vrané</t>
  </si>
  <si>
    <t>VLT11</t>
  </si>
  <si>
    <t>Štěchovice</t>
  </si>
  <si>
    <t>GEN</t>
  </si>
  <si>
    <t xml:space="preserve"> </t>
  </si>
  <si>
    <t>Total</t>
  </si>
  <si>
    <t>profesní oblast</t>
  </si>
  <si>
    <t>kapitola OTP</t>
  </si>
  <si>
    <t>logický celek</t>
  </si>
  <si>
    <t>kategorie logického celku</t>
  </si>
  <si>
    <t>relevance</t>
  </si>
  <si>
    <t>dopřesnění OTP</t>
  </si>
  <si>
    <t>MJ</t>
  </si>
  <si>
    <t xml:space="preserve">množství </t>
  </si>
  <si>
    <t xml:space="preserve">jednotková cena </t>
  </si>
  <si>
    <t>Základ</t>
  </si>
  <si>
    <t>Korekce</t>
  </si>
  <si>
    <t>Celková cena</t>
  </si>
  <si>
    <t>Poznámka</t>
  </si>
  <si>
    <t>(stavební/ strojní/ elektro)</t>
  </si>
  <si>
    <t>ano/ne/info</t>
  </si>
  <si>
    <t>[tis. Kč]</t>
  </si>
  <si>
    <t>strojní</t>
  </si>
  <si>
    <t>4.1.1</t>
  </si>
  <si>
    <t>pohony - náhradní zařízení</t>
  </si>
  <si>
    <t>místní hydraulický agregát PKx</t>
  </si>
  <si>
    <t>ano</t>
  </si>
  <si>
    <t>ks</t>
  </si>
  <si>
    <t>4.1.4</t>
  </si>
  <si>
    <t>lineární elektromechanický pohon "L"</t>
  </si>
  <si>
    <t>Do položky jsou započtena i náhradní zařízení za pohony dodávané v rámci akce PK Dolánky - rekonstrukce a PK Roztoky - rekonstrukce
Korekce - odečet montáží a demontáží</t>
  </si>
  <si>
    <t>4.1.5</t>
  </si>
  <si>
    <t>lineární elektromechanický pohon "S"</t>
  </si>
  <si>
    <t>SUBTOTAL</t>
  </si>
  <si>
    <t>elektro</t>
  </si>
  <si>
    <t>5.6.11</t>
  </si>
  <si>
    <t>Řídicí systém</t>
  </si>
  <si>
    <t>Datová komunikační vazba</t>
  </si>
  <si>
    <t>kpl</t>
  </si>
  <si>
    <t>5.6.12</t>
  </si>
  <si>
    <t>Datové centrum</t>
  </si>
  <si>
    <t>5.6.13</t>
  </si>
  <si>
    <t>Servisní zařízení</t>
  </si>
  <si>
    <t>5.6.14</t>
  </si>
  <si>
    <t>Diagnostické centrum OT</t>
  </si>
  <si>
    <t>5.14</t>
  </si>
  <si>
    <t>Náhradní díly</t>
  </si>
  <si>
    <t>NDCS</t>
  </si>
  <si>
    <t>Projektová dokumentace</t>
  </si>
  <si>
    <t>Studie, Povolení, RDS, DSPS a další dle kapitoly 6 OTP a relevantních ustanovení Požadavků objednatele (pouze pro položky 5.6.11 a 5.6.12)</t>
  </si>
  <si>
    <t>Společné</t>
  </si>
  <si>
    <t>Management</t>
  </si>
  <si>
    <t>část BIM</t>
  </si>
  <si>
    <t>CDE</t>
  </si>
  <si>
    <t>Zajištění prostředí CDE dle požadavků vyplývajících z relevantních dokumentů pro zpracování BIM. Předpoklad licencí pro zástupce Objednatele: 40 uživatelů</t>
  </si>
  <si>
    <t>rok</t>
  </si>
  <si>
    <t>TOTAL vč. rizik</t>
  </si>
  <si>
    <t>množství (lokace)</t>
  </si>
  <si>
    <t>PK</t>
  </si>
  <si>
    <t>VZA</t>
  </si>
  <si>
    <t>VEL</t>
  </si>
  <si>
    <t>ZAZ</t>
  </si>
  <si>
    <t>VDI (Ʃ)</t>
  </si>
  <si>
    <t>stavební</t>
  </si>
  <si>
    <t xml:space="preserve"> -</t>
  </si>
  <si>
    <t>kabelové trasy </t>
  </si>
  <si>
    <t>zachovávané trasy (bez rozdílu typu s možnou obnovou kabeláže)</t>
  </si>
  <si>
    <t>m</t>
  </si>
  <si>
    <t>3.1.2</t>
  </si>
  <si>
    <t>přístupné trasy</t>
  </si>
  <si>
    <t>3.1.3</t>
  </si>
  <si>
    <t>kabelový kanál - betonový poklop</t>
  </si>
  <si>
    <t>korekce - zatížení nákladní dopravou - poklopy na nákladní zatížení</t>
  </si>
  <si>
    <t>kabelový kanál - plechový poklop pochozí</t>
  </si>
  <si>
    <t>kabelový kanál - plechový poklop osobní</t>
  </si>
  <si>
    <t>Korekce na poklopy technologií - 19.650/m2</t>
  </si>
  <si>
    <t>kabelový kanál - plechový poklop nákladní</t>
  </si>
  <si>
    <t>ne</t>
  </si>
  <si>
    <t>3.1.4</t>
  </si>
  <si>
    <t>kabelový multikanál</t>
  </si>
  <si>
    <t>3.1.5</t>
  </si>
  <si>
    <t>zemní trasa - zásyp</t>
  </si>
  <si>
    <t>3.1.6</t>
  </si>
  <si>
    <t>zemní trasa - chránička</t>
  </si>
  <si>
    <t>3.1.7</t>
  </si>
  <si>
    <t>interiérové instalace - vkládací lišty</t>
  </si>
  <si>
    <t>3.1.8</t>
  </si>
  <si>
    <t>interiérové instalace - podomítková</t>
  </si>
  <si>
    <t>3.1.9</t>
  </si>
  <si>
    <t>shybka-prostup</t>
  </si>
  <si>
    <t>3.1.10</t>
  </si>
  <si>
    <t>shybka-chránička</t>
  </si>
  <si>
    <t>3.1.11</t>
  </si>
  <si>
    <t>shybka-zářez</t>
  </si>
  <si>
    <t>3.2.1</t>
  </si>
  <si>
    <t>podstavce pod místní hydraulické agregáty pkx </t>
  </si>
  <si>
    <t>betonový podstavec</t>
  </si>
  <si>
    <t>3.2.2</t>
  </si>
  <si>
    <t>nosníkový podstavec</t>
  </si>
  <si>
    <t>3.3.1</t>
  </si>
  <si>
    <t>prostupy </t>
  </si>
  <si>
    <t>volný prostup</t>
  </si>
  <si>
    <t>3.3.2</t>
  </si>
  <si>
    <t>vodotěsný prostup</t>
  </si>
  <si>
    <t>3.3.3</t>
  </si>
  <si>
    <t>protipožární prostup</t>
  </si>
  <si>
    <t>3.4</t>
  </si>
  <si>
    <t>velín / operátorská místnost</t>
  </si>
  <si>
    <t>hrazení a čerpání PK</t>
  </si>
  <si>
    <t>Nepočítá se s vyčerpáním PK1</t>
  </si>
  <si>
    <t>3.5</t>
  </si>
  <si>
    <t>demontáže a demolice </t>
  </si>
  <si>
    <t>Náklady na demolice jsou součástí položek kapitoly STR, u této položky jsou v korekci započteny pouze náklady na zvětšení výklenků pro hydraulické agregáty</t>
  </si>
  <si>
    <t>Studie, Povolení, RDS, DSPS (BIM) a další dle kapitoly 6 OTP a relevantních ustanovení Požadavků objednatele</t>
  </si>
  <si>
    <t>pohony </t>
  </si>
  <si>
    <t>korekce na renovaci konektorů stávajících agregátů</t>
  </si>
  <si>
    <t>4.1.2</t>
  </si>
  <si>
    <t>centrální hydraulický agregát PKx</t>
  </si>
  <si>
    <t>-</t>
  </si>
  <si>
    <t>4.1.3</t>
  </si>
  <si>
    <t>centrální hydraulický agregát VZA</t>
  </si>
  <si>
    <t>4.1.6</t>
  </si>
  <si>
    <t>dmychadlo</t>
  </si>
  <si>
    <t>4.2.1</t>
  </si>
  <si>
    <t>ostatní strojní zařízení</t>
  </si>
  <si>
    <t>bublinkovací zařízení</t>
  </si>
  <si>
    <t>4.3.2</t>
  </si>
  <si>
    <t>technologické rozvody </t>
  </si>
  <si>
    <t>hydraulické rozvody PKx místní</t>
  </si>
  <si>
    <t>bráno na počet agreagátů (8 kpl)</t>
  </si>
  <si>
    <t>4.3.3</t>
  </si>
  <si>
    <t>hydraulické rozvody PKx centrální</t>
  </si>
  <si>
    <t>.</t>
  </si>
  <si>
    <t>4.3.4</t>
  </si>
  <si>
    <t>hydraulické rozvody VZA centrální</t>
  </si>
  <si>
    <t>4.3.5</t>
  </si>
  <si>
    <t xml:space="preserve">pneumatické rozvody bublinkování </t>
  </si>
  <si>
    <t>4.4</t>
  </si>
  <si>
    <t>montáže </t>
  </si>
  <si>
    <t>4.5</t>
  </si>
  <si>
    <t>demontáže </t>
  </si>
  <si>
    <t>5.2.2</t>
  </si>
  <si>
    <t>napájení a rozvaděče</t>
  </si>
  <si>
    <t>hlavní rozvaděč</t>
  </si>
  <si>
    <t>5.2.3.1</t>
  </si>
  <si>
    <t>podružné rozvaděče technologické</t>
  </si>
  <si>
    <t>5.2.3.2</t>
  </si>
  <si>
    <t>podružné rozvaděče elektrostavební</t>
  </si>
  <si>
    <t>5.2.3.3</t>
  </si>
  <si>
    <t>podružné rozvaděče ostatní</t>
  </si>
  <si>
    <t>5.2.4.1</t>
  </si>
  <si>
    <t>místní ovládací skříně</t>
  </si>
  <si>
    <t>5.2.4.2</t>
  </si>
  <si>
    <t>servisní ovládací skříně</t>
  </si>
  <si>
    <t>5.2.5</t>
  </si>
  <si>
    <t>datové rozvaděče</t>
  </si>
  <si>
    <t>5.3.1</t>
  </si>
  <si>
    <t>záložní zdroje </t>
  </si>
  <si>
    <t>dieselgenerátor</t>
  </si>
  <si>
    <t>5.3.2</t>
  </si>
  <si>
    <t>UPS</t>
  </si>
  <si>
    <t>5.3.3</t>
  </si>
  <si>
    <t>baterie</t>
  </si>
  <si>
    <t>5.4.1</t>
  </si>
  <si>
    <t>osvětlení </t>
  </si>
  <si>
    <t>venkovní - pochůzkové</t>
  </si>
  <si>
    <t>venkovní - technologické</t>
  </si>
  <si>
    <t>5.4.2</t>
  </si>
  <si>
    <t>vnitřní</t>
  </si>
  <si>
    <t>5.5.1</t>
  </si>
  <si>
    <t>zásuvkové skříně </t>
  </si>
  <si>
    <t>zásuvková skříň - standard</t>
  </si>
  <si>
    <t>5.5.2</t>
  </si>
  <si>
    <t>zásuvková skříň - flygt</t>
  </si>
  <si>
    <t>5.6.2</t>
  </si>
  <si>
    <t>řídicí systém </t>
  </si>
  <si>
    <t>Procesní stanice</t>
  </si>
  <si>
    <t>5.6.3</t>
  </si>
  <si>
    <t>Datový server</t>
  </si>
  <si>
    <t>5.6.4</t>
  </si>
  <si>
    <t>Operátorské PC</t>
  </si>
  <si>
    <t>5.6.5</t>
  </si>
  <si>
    <t>Technologická síť</t>
  </si>
  <si>
    <t>5.6.6</t>
  </si>
  <si>
    <t>Vizualizace</t>
  </si>
  <si>
    <t>5.6.7</t>
  </si>
  <si>
    <t>Dohledové PC</t>
  </si>
  <si>
    <t>5.6.8</t>
  </si>
  <si>
    <t>Kancelářské PC</t>
  </si>
  <si>
    <t>info</t>
  </si>
  <si>
    <t>5.6.9</t>
  </si>
  <si>
    <t>Operátorský pult</t>
  </si>
  <si>
    <t>5.6.10</t>
  </si>
  <si>
    <t>Místní ovládací pracoviště</t>
  </si>
  <si>
    <r>
      <t>VDI</t>
    </r>
    <r>
      <rPr>
        <sz val="10"/>
        <color theme="1"/>
        <rFont val="Segoe UI"/>
        <family val="2"/>
      </rPr>
      <t xml:space="preserve">
Pozice: dle Projektové dokumentace
Info: diagnostické snímače včetně zapojení a oživení</t>
    </r>
  </si>
  <si>
    <t>5.7.2</t>
  </si>
  <si>
    <t>polní instrumentace </t>
  </si>
  <si>
    <t>elektrické veličiny</t>
  </si>
  <si>
    <t>5.7.3</t>
  </si>
  <si>
    <t>polní instrumentace</t>
  </si>
  <si>
    <t>neelektrické veličiny</t>
  </si>
  <si>
    <t>5.7.4</t>
  </si>
  <si>
    <t>hladina</t>
  </si>
  <si>
    <t>5.7.5</t>
  </si>
  <si>
    <t>meteo veličiny</t>
  </si>
  <si>
    <t>5.8.1</t>
  </si>
  <si>
    <t>bezpečnostní systémy </t>
  </si>
  <si>
    <t>kamerový systém</t>
  </si>
  <si>
    <t>5.8.2</t>
  </si>
  <si>
    <t>PZTS</t>
  </si>
  <si>
    <t>5.8.3</t>
  </si>
  <si>
    <t>semafory</t>
  </si>
  <si>
    <t>5.9.1</t>
  </si>
  <si>
    <t>hlasové komunikační systémy </t>
  </si>
  <si>
    <t>intercom</t>
  </si>
  <si>
    <t>5.9.2</t>
  </si>
  <si>
    <t>telefon</t>
  </si>
  <si>
    <t>5.9.3</t>
  </si>
  <si>
    <t>vysílačky</t>
  </si>
  <si>
    <t>5.10.1</t>
  </si>
  <si>
    <t>ostatní systémy </t>
  </si>
  <si>
    <t>systém jednotného času</t>
  </si>
  <si>
    <t>5.10.2</t>
  </si>
  <si>
    <t>systém čerpání prosáklé vody</t>
  </si>
  <si>
    <t>5.10.3</t>
  </si>
  <si>
    <t>systém zasílání alarmových SMS zpráv</t>
  </si>
  <si>
    <t>5.11.2</t>
  </si>
  <si>
    <t>kabelová spojení </t>
  </si>
  <si>
    <t>kabely</t>
  </si>
  <si>
    <t>5.12</t>
  </si>
  <si>
    <t>5.13</t>
  </si>
  <si>
    <t>demontáže</t>
  </si>
  <si>
    <t>náhradní díly</t>
  </si>
  <si>
    <t>NDVD</t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</si>
  <si>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sklad náhradních dílů na VD</t>
    </r>
  </si>
  <si>
    <t>Zařízení staveniště</t>
  </si>
  <si>
    <t>Předprojektová příprava</t>
  </si>
  <si>
    <t>geodetické zaměření, stavebně-technický průzkum, pasport kabelů a IS, potápěčský průzkum, rešerše stávajících projektových dokumentací a provedených úprav</t>
  </si>
  <si>
    <t>Management+Inženýring</t>
  </si>
  <si>
    <t>Zjednodušený 3D model stavby</t>
  </si>
  <si>
    <t>Příprava zjednodušeného modelu stavby dle UP_ADM02</t>
  </si>
  <si>
    <t>Provozní řád</t>
  </si>
  <si>
    <t>relevantní</t>
  </si>
  <si>
    <t>korekce - ocelová chránička 80m</t>
  </si>
  <si>
    <t>Koncept, DSP, RDS, DSPS (BIM) a další dle kapitoly 6 OTP a relevantních ustanovení požadavků objednatele</t>
  </si>
  <si>
    <t>pohonné jednotky, rozvaděče (korekce - filtrační jednotka)</t>
  </si>
  <si>
    <t>rozvody včetně montáže agregátu a hrazení jezových polí</t>
  </si>
  <si>
    <t>VDI</t>
  </si>
  <si>
    <t>VDI
Pozice: dle Projektové dokumentace</t>
  </si>
  <si>
    <t>VDI
Pozice: dle Projektové dokumentace
Info: přizpůsobená technologickým celkům na VD (SCADA/HMI)</t>
  </si>
  <si>
    <t>ano/ne</t>
  </si>
  <si>
    <t>korekce na počty tras na mostovce - počítáno s indikativním počtem přístupných tras ve stávajícím provedení</t>
  </si>
  <si>
    <t>PODMÍNĚNÉ OBNOSY
započítány i svislé trasy 2*7m</t>
  </si>
  <si>
    <t>bráno na počet agreagátů (7 kpl)</t>
  </si>
  <si>
    <t>korekce - zdvojená podlaha v rozvodně</t>
  </si>
  <si>
    <t>korekce - snížená dimenze trasy</t>
  </si>
  <si>
    <t>korekce - jedna šachta navíc</t>
  </si>
  <si>
    <t>korekce za neexistující klimatizaci ve velínu VZA</t>
  </si>
  <si>
    <t>součást PK Dolánky - rekonstrukce</t>
  </si>
  <si>
    <t>korekce - filtrační jednotka</t>
  </si>
  <si>
    <t>VDI
Pozice: dle Projektové dokumentace
Info: 
- PK1, SPOL PK1, VZA, SPOL VZA</t>
  </si>
  <si>
    <t>součást PK Roztoky - rekonstrukce</t>
  </si>
  <si>
    <t>Korekce za stožár VO</t>
  </si>
  <si>
    <t>korekce za chybějící dohledoměr na VZA</t>
  </si>
  <si>
    <t>214m nový kabelový kanál
124m obnova kabelového kanálu</t>
  </si>
  <si>
    <t>59m nový kabelový kanál
395m obvova kabelového kanálu</t>
  </si>
  <si>
    <t>započítány i svislé trasy 2*7m
korekce - zaslepení původní shybky</t>
  </si>
  <si>
    <t>korekce - redukce za připravenost stavebních jam u agregátů pod platem</t>
  </si>
  <si>
    <t>bráno na počet agreagátů (6 kpl)
korekce na rozvod 1AG11 novou shybkou</t>
  </si>
  <si>
    <t>započítány i svislé trasy 2*(7+7)m</t>
  </si>
  <si>
    <t>korekce - ocelová chránička 20m</t>
  </si>
  <si>
    <t>288m nový kabelový kanál
531m obnova kabelového kanálu</t>
  </si>
  <si>
    <t>započítány i svislé trasy 2*7m+délka shybka 15m
korekce - obnova vystrojení shybek PK2 (12+2*7m) a VZA (12+2*7m)</t>
  </si>
  <si>
    <t>bráno na počet agreagátů (6 kpl)</t>
  </si>
  <si>
    <t>potrubí ve strojovně včetně kompletní výměny oleje</t>
  </si>
  <si>
    <t>množství</t>
  </si>
  <si>
    <t>započítány i svislé trasy (2*7m) ke každé shybce
korekce - vyčištění stávajících shybek (3 ks)</t>
  </si>
  <si>
    <t>bráno na počet agreagátů v PK1(6 kpl)</t>
  </si>
  <si>
    <t>podstavce pod místní hydraulické agregáty PKx </t>
  </si>
  <si>
    <t>korekce - doplnění klimatizace do Technické místnosti</t>
  </si>
  <si>
    <t>práce potápěčů při demontáži a montáži hladinových sond v PK1 a PK2</t>
  </si>
  <si>
    <t>ZAZ
Pozice: dle Projektové dokumentace
Info: přípojka pro mobilní DG v blízkosti stávající pozici stacionárního DG</t>
  </si>
  <si>
    <t>Procesní stanice (automaty FC)</t>
  </si>
  <si>
    <t>VDI
Pozice: dle Projektové dokumentace
Info:
- na MVE/VE - předpoklad vyvolané investice na straně VE do 200 000,- Kč
- na datové centrum</t>
  </si>
  <si>
    <t>VEL PKx
Pozice: operátorská místnost
Info:
- nový operátorský pult
- obnova klimatizace (aktuálně 2 vnitřní a 2 venkovní)
- doplnění klimatizace do kanceláře vedoucího VD</t>
  </si>
  <si>
    <t>označení</t>
  </si>
  <si>
    <t>umístění 
(funkční celek)</t>
  </si>
  <si>
    <t>stav</t>
  </si>
  <si>
    <t>část</t>
  </si>
  <si>
    <t>specifikace</t>
  </si>
  <si>
    <t xml:space="preserve">celková cena </t>
  </si>
  <si>
    <t>výkres / foto</t>
  </si>
  <si>
    <t>vyřešeno / nevyřešeno</t>
  </si>
  <si>
    <r>
      <t>ks/kpl/m/t/m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</si>
  <si>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r>
      <t>VDI (</t>
    </r>
    <r>
      <rPr>
        <b/>
        <sz val="11"/>
        <color theme="1"/>
        <rFont val="Calibri"/>
        <family val="2"/>
        <charset val="238"/>
      </rPr>
      <t>Ʃ</t>
    </r>
    <r>
      <rPr>
        <b/>
        <sz val="11"/>
        <color theme="1"/>
        <rFont val="Calibri"/>
        <family val="2"/>
        <charset val="238"/>
        <scheme val="minor"/>
      </rPr>
      <t>)</t>
    </r>
  </si>
  <si>
    <t>zachovávané trasy (bez rozdílu typu s předpokládanou obnovou kabeláže)</t>
  </si>
  <si>
    <t>dle PAS a OTP</t>
  </si>
  <si>
    <t>kabelový kanál</t>
  </si>
  <si>
    <t>u DO PKx - obnova stávajícího kabelového kanálu dle OTP (výkres)</t>
  </si>
  <si>
    <t>nový prostup pro kabeláž v budově zázemí v rámci nové interiérové trasy (dispoziční limity trasy z PK1 do budovy 1)</t>
  </si>
  <si>
    <t>Fe: poklopy kabelových kanálů a šachet</t>
  </si>
  <si>
    <t>Není předpokládáno
Fe:
Cu:
Nerez:</t>
  </si>
  <si>
    <t>výměna za nový včetně výzbroje, 3 přívody</t>
  </si>
  <si>
    <t>Výměna za nové včetně výzbroje, pozice a počet dle pasportu</t>
  </si>
  <si>
    <t>Pozice dle pasportu, výměna za nový včetně výzbroje. stávající označení RB01, indikace vývodů viz příloha</t>
  </si>
  <si>
    <t>@JCH - co je myšleno</t>
  </si>
  <si>
    <t>Součástí MOS, dle OTP, pozice a počet dle pasportu</t>
  </si>
  <si>
    <t>- všechny datové rozvaděče (vyjma tlf. ústředny) jsou preferenčně umístěny v Budově 1 v 0. NP v místnosti dle pasportu značené jako Dílna 1 (nově Serverovna). Stávající klimatizační jednotka z Velínu je využita pro klimatizaci Serverovny včetně montáže, zapojení a zprovoznění. Stávající kabelová trasa mezi Serverovnou a Velínem je zkapacitněna.
- datový rozvaděč tlf. ústředny je umístěn na stávající pozici v rozvodně v 1. jezovém pilíři VZA</t>
  </si>
  <si>
    <t>@AS - doplníme</t>
  </si>
  <si>
    <t>výměny zdrojů v rozsahu dle pasportu, VD Vrané má celodenní provoz (24/7), pochůzkové osvětlení je v souladu s relevantními ČSN přizpůsobeno tomuto požadavku. Pro zajištění požadavku nelze vyloučit potřebu zásahu do stávajících stožárů VO, není předpokládáno doplňování stožárů. Rozsah zásahu může být předmětem čerpání z kapitoly "Podmíněných obnosů".</t>
  </si>
  <si>
    <t>PKx - nová svítidla v počtu a na pozicích dle pasportu
VZA - osvětlení jezových polí z obou stran mostovky (2ks na jezové pole)
ZAZ - nová svítidla v počtu a na pozicích dle pasportu</t>
  </si>
  <si>
    <t>- nové osvětlení operátorského pracoviště Velínu
- nové osvětlení strojovny i schodišťových šachet HO PK1. Řešení svítidel schoddišťových šachet odpovídá řešení ve schodišťových šachtách VZA (foto)
- nové osvětlení strojovny VZA, rozvody i osvětlení ve schodišťových šachtách zůstávají zachovány
- rozvodna</t>
  </si>
  <si>
    <t>- PKx nové zásuvkové skříně v počtu a na pozicích dle pasportu
- VZA nové zásuvkové skříně v počtu a na pozicích dle pasportu + nová zásuvková skříň v 5. jezovém pilíři za vstupem na VD (viz výkres)</t>
  </si>
  <si>
    <t>- nová zásuvková skříň na pozici dle pasportu</t>
  </si>
  <si>
    <t>PK1, PK2, VZA</t>
  </si>
  <si>
    <t>dle OTP v Serverovně</t>
  </si>
  <si>
    <t>dle OTP ve Velínu</t>
  </si>
  <si>
    <t>dle OTP, striktně zajištěno optickým vedením</t>
  </si>
  <si>
    <t xml:space="preserve">dle OTP, přizpůsobená tech. celkům VD (SCADA, HMI) </t>
  </si>
  <si>
    <t>dle OTP v kanceláři vedoucího VD</t>
  </si>
  <si>
    <t>dle OTP na Velíně</t>
  </si>
  <si>
    <t>na MVE/VE, na datové centrum</t>
  </si>
  <si>
    <t>dle OTP</t>
  </si>
  <si>
    <t>Pohony dle UP
koncové snímače: osazené technologie dle pasportu, realizace dle OTP
polohové snímače: osazené technologie dle pasportu, realizace dle OTP (případně doplnit odchýlení od pasportu</t>
  </si>
  <si>
    <t>senzory dle pasportu, upozornění na požadavek zdvojeného měření v horním a dolním (???) prostoru PK1</t>
  </si>
  <si>
    <t>požadavek na měření v plném rozsahu dle OTP</t>
  </si>
  <si>
    <t>Zastřežovací: stop čáry všech ohlaví (+ horní uzávěr), tabule jezových polí, strojovna jezu, strojovna horního uzávěru¨… - uvést počet kamer?
Operační: PKx, VZA, prostoru dle výkresu</t>
  </si>
  <si>
    <t>Default dle pasportu, případně dospecifikovat</t>
  </si>
  <si>
    <t>Realizace dle pasportu a OTP</t>
  </si>
  <si>
    <t>Realizace dle pasportu + rozšíření na vjezdovou bránu</t>
  </si>
  <si>
    <t>Realizace dle pasportu + případné dopřesnění</t>
  </si>
  <si>
    <t>5.11.1</t>
  </si>
  <si>
    <t>kabelové trasy</t>
  </si>
  <si>
    <t>Al: xx tun
Cu: xx tun
Fe: xx tun
viz PAS - TAB
Demontáž SONICO (7+1+1ks)</t>
  </si>
  <si>
    <t>přílohy</t>
  </si>
  <si>
    <t>pracovní poznámky</t>
  </si>
  <si>
    <t>Al: xx tun
Cu: xx tun
Fe: xx tun
viz PAS - TAB
Demontáž SONICO</t>
  </si>
  <si>
    <t>kabelový kanál - zabetonovaný</t>
  </si>
  <si>
    <t>výkres</t>
  </si>
  <si>
    <t>ks/kpl/m</t>
  </si>
  <si>
    <r>
      <t>VDI (</t>
    </r>
    <r>
      <rPr>
        <sz val="11"/>
        <color theme="1"/>
        <rFont val="Calibri"/>
        <family val="2"/>
        <charset val="238"/>
      </rPr>
      <t>Ʃ</t>
    </r>
    <r>
      <rPr>
        <sz val="11"/>
        <color theme="1"/>
        <rFont val="Calibri"/>
        <family val="2"/>
        <charset val="238"/>
        <scheme val="minor"/>
      </rPr>
      <t>)</t>
    </r>
  </si>
  <si>
    <t>m (kpl?)</t>
  </si>
  <si>
    <t>Fe:</t>
  </si>
  <si>
    <t>kompresor</t>
  </si>
  <si>
    <t>4.2.2</t>
  </si>
  <si>
    <t>4.2.3</t>
  </si>
  <si>
    <t>4.2.4</t>
  </si>
  <si>
    <t>4.2.5</t>
  </si>
  <si>
    <t>4.3</t>
  </si>
  <si>
    <t>3 přívody</t>
  </si>
  <si>
    <t>stávající označení RB01, indikace vývodů viz příloha</t>
  </si>
  <si>
    <t>RB01</t>
  </si>
  <si>
    <t>výměny zdrojů dle pasportu</t>
  </si>
  <si>
    <t>venkovní-technologické</t>
  </si>
  <si>
    <t>výměny reflektorů dle pasportu</t>
  </si>
  <si>
    <t>požadavek na nové osvětlení následujících technol. Prostor:
- velín
- mostovka PK1 včetně pilířů
- mostovka VZA včetně pilířů
- Rozvodna</t>
  </si>
  <si>
    <t>zásuvková skříň-standard</t>
  </si>
  <si>
    <t>Pozice a počet dle pasportu?</t>
  </si>
  <si>
    <t>zásuvková skříň-flygt</t>
  </si>
  <si>
    <t>5.6</t>
  </si>
  <si>
    <t>řídící systém </t>
  </si>
  <si>
    <t>Kancelářské PC a PC plavby</t>
  </si>
  <si>
    <t xml:space="preserve">GEN
Info: Náhradní zařízení jsou dodána do skladového areálu Objednatele (Mělník - Mlazice, ul. Strážnická) </t>
  </si>
  <si>
    <t>VDI
Pozice: dle Projektové dokumentace
Info:
- demontované hydraulické agregáty PKx místní (12ks) a hydraulické servomotory z PK2 (12ks) jsou transportovány do skladového areálu Objednatele (Mělník - Mlazice, ul. Strážnická) 
- demontáž místních hydraulických rozvodů na PK2
Vyzískané materiály:
Fe: 4t
Elektroodpad: 0.5t</t>
  </si>
  <si>
    <t>komponenta logického celku</t>
  </si>
  <si>
    <t>demolice </t>
  </si>
  <si>
    <t>3.6</t>
  </si>
  <si>
    <t xml:space="preserve">opravy po demolicích, montážích a demontážích </t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</si>
  <si>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Projektové dokumentace</t>
    </r>
  </si>
  <si>
    <t>PODMÍNĚNÉ OBNOSY na VDI
korekce - přidaná šachta na úseku chráničky (10m) na PK</t>
  </si>
  <si>
    <r>
      <t>ks/kpl/m/t/m</t>
    </r>
    <r>
      <rPr>
        <vertAlign val="superscript"/>
        <sz val="10"/>
        <color theme="1"/>
        <rFont val="Segoe UI"/>
        <family val="2"/>
      </rPr>
      <t>3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</si>
  <si>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výkresu
Info:
- levé plato dolní rejdy
- trasa na špičku Dětského ostrova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Pozice: dle výkresu
Info:
- 2x shybka pod PK2
- trasy na pravém platu PK2 u DO
- trasa k majáčku na špičce dělící zdi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- zachování kabelových tras v 2NP nového velínu ve zdvojených podlahách a stropních podhledech (bez indikace délky)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</si>
  <si>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levé plato PK1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Pozice: dle výkresu
Info: pravé plato PK2 vyjma prostoru u DO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vystrojení a záklop vertikálního kanálu v noze velínu (3m)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</si>
  <si>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pravé plato PK1
</t>
    </r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výkresu
Info: trasa z pravého plata PK1 do provozní budovy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</si>
  <si>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výkresu a Projektové dokumentace
Info: Realizace propojení trasy na špičku dětského ostrova do shybky pod Šítkovským jezem (bez indikace délky)</t>
    </r>
  </si>
  <si>
    <r>
      <t xml:space="preserve">ZAZ PK1 
</t>
    </r>
    <r>
      <rPr>
        <sz val="10"/>
        <color theme="1"/>
        <rFont val="Segoe UI"/>
        <family val="2"/>
      </rPr>
      <t>Pozice: dle popisu
Info: Trasy rozvodů v provozních budovách (předpoklad 100m)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</si>
  <si>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výkresu
Info:
- 3x nová shybka na HO PK1
- vyčištění stávajících shybek (3 ks)</t>
    </r>
  </si>
  <si>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v době realizace je předpoklad hotových nových shybek na HO a DO - v rámci VVC není uvažováno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</si>
  <si>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
Info: standardní výška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</si>
  <si>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popisu
Info: doplnění 6x prostupů na stávajících shybkách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 
- prostup v přechodu mezi kabelovým kanálem a nohou velínu
--- smyslem je zajištění vodotěsnosti interiéru nohy velínu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</si>
  <si>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27t</t>
    </r>
  </si>
  <si>
    <r>
      <t xml:space="preserve">PK1
</t>
    </r>
    <r>
      <rPr>
        <sz val="10"/>
        <color theme="1"/>
        <rFont val="Segoe UI"/>
        <family val="2"/>
      </rPr>
      <t>Pozice: dle pasportu
Info: PK1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</si>
  <si>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demontáž dmychadel PK1 (2ks)
- demontáž bublinkovacích zařízení PK1 (3ks)
- demontáž pneumatických rozvodů PK1 (120m)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3t
Elektroodpad: 0.9t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</si>
  <si>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 xml:space="preserve">Pozice: rozvodna
Info:
- 2 přívody
- zachovány přívodní kabely z DS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</si>
  <si>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3x pro PK1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Info: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</si>
  <si>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</si>
  <si>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pro PK1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</si>
  <si>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 6x pro PK1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</si>
  <si>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není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</si>
  <si>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příprava pro připojení mobilního DG na levém platu u dolního ohlaví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není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</si>
  <si>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pro PK2 zachovat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</si>
  <si>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</si>
  <si>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Projektové dokumentace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</si>
  <si>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na pozicích ZR1 a ZR2
- místo napájení je zachováno (z rozvaděče pod schody)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</si>
  <si>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SPOL
- pro PK2 zachován stávající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</si>
  <si>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</si>
  <si>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páteřní technologické síť je provedena optickým vedením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</si>
  <si>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přizpůsobená technologickým celkům na VD (SCADA/HMI)
- bez zahrnutí PK2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</si>
  <si>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Info: bez zahrnutí PK2</t>
    </r>
  </si>
  <si>
    <r>
      <t xml:space="preserve">VDI
</t>
    </r>
    <r>
      <rPr>
        <sz val="10"/>
        <color theme="1"/>
        <rFont val="Segoe UI"/>
        <family val="2"/>
      </rPr>
      <t>Pozice: kancelář vedoucího VD a operátorská místnost
Info: jsou zachována stávající PC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</si>
  <si>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úprava stávajícícho operátorského pultu
- napojení nového ŘS na stávající operátorský pult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</si>
  <si>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na dveřích rozvaděče pro SPOL
- pro PK2 zachován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</si>
  <si>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datové centrum
- bez zahrnutí PK2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</si>
  <si>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zachováno stávající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</si>
  <si>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zachováno stávající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</si>
  <si>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</si>
  <si>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kamery nejsou na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</si>
  <si>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</si>
  <si>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</si>
  <si>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
Info: bez zahrnutí PK2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</si>
  <si>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Info: nejsou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</si>
  <si>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výměna kabelů k telematickým tabulím na pozicích dle pasportu
-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</si>
  <si>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jsou vyžadována provizoria
- bez zahrnutí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</si>
  <si>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bez zahrnutí PK2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0.5t
Elektroodpad: 1.5t
Kabely: 2t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</si>
  <si>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výkresu a popisu
Info:
- horizontální trasa v mostním pilíři
- vertikální trasa ve výtahové šachtě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</si>
  <si>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
Info: kabelové kanály na obou platech u ohlaví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</si>
  <si>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
- trasa do zázemí -sever (mezi potokem a dolním limnigrafem)
- 2x chránička DN200 + 1x chránička HDPE DN32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</si>
  <si>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popisu
Info: prostup z kabelového kanálu na pravém platu PK1 do výtahové šachty mostního pilíře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</si>
  <si>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9t
Elektroodpad: 0.1t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</si>
  <si>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
- 4 přívody
- zachovány přívodní kabely z DS
- požadavek na automatické přepínání přívodů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</si>
  <si>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strojovna
Info: 1x VZA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3x PK1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</si>
  <si>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</si>
  <si>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5x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</si>
  <si>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- 3x PK1
- je povoleno sloučení SOS s MOS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Projektové dokumentace
Info:
- 5x VZA
- je povoleno sloučení SOS s technologickým rozvaděčem nebo sloučení SOS s MOS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</si>
  <si>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</si>
  <si>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
- dva reflektory na každé jezové pole
- 1 výkonný reflektor z 1.-5. jezového pilíře na horní vodu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Projektové dokumentace
Info: doplnit technologické osvětlení manipulační plochy na pravém platu dolní rejdy - podvěšení reflektorů na zeď pod úroveň silnice. Samostatné ovládání z operátorského pultu a ŘS.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</si>
  <si>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- ostatní místnosti ve velínu
Info: rozvody jsou ponechány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schodišťové šachty a revizní štoly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</si>
  <si>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zachovány stávající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Info: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</si>
  <si>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VZA,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</si>
  <si>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přizpůsobená technologickým celkům na VD (SCADA/HMI)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</si>
  <si>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</si>
  <si>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dělen na dvě části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</si>
  <si>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
- operátorská místnost
- rozvodna
Info:
- součást operátorského pultu pro PK1
- součást operátorského pultu pro VZA
- na dveřích rozvaděče pro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</si>
  <si>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MVE/VE - předpoklad vyvolané investice na straně VE do 200 000,- Kč
- na datové centrum
- na dispečink ČEZ (zajištění přenosu dat o stavech na VD vltavské kaskády) - předpoklad vyvolané investice na straně dispečinku ČEZ do 200 000,-Kč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</si>
  <si>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</si>
  <si>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</si>
  <si>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měření teploty vody je realizováno 50 cm pod aktuální hladinou vody ve zdrži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</si>
  <si>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nově operační kamera s pohledem na dolní a střední vrata PK1 (preferenční umístění na dělící zdi dolní rejdy)
- s ohledem na specifika VD se připouští využití otočných kamer pro zastřežení
- nově zastřežení strojovny VZA
- nově zastřežení zázemí jih (s lokálním IR přísvitem)
- nově zastřežení nových budov v zázemí střed (objekt A - D dle přílohy pasportu PAS_VLT11_SIT_ZAZ_projekt)
- nově zastřežení příjezdové cesty  až po severní hranici zázemí střed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</si>
  <si>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výkresů (DSPS nových objektů Zázemí střed) a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</si>
  <si>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na středním ohlaví není požadován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</si>
  <si>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výkresu a Projektové dokumentace
Info:
- nová komunikační hláska (s kamerou) na vstupní brance v plotu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</si>
  <si>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rozvodně VEL
Info:
- tel. zásuvky: operátorská místnost, kancelář vedoucího VD, strojovna VZA (levý pilíř), 2x jezová štola
- připojení tel. zásuvky v zámečnické dílně do ústředny
- 1x přenosná telefonní stanice s bezdrátovým tel. přístrojem
- pevná tel. stanice  -  oper. místnost, kancelář vedoucího VD, dílna, strojovna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</si>
  <si>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Info: pohled z dolní vody není vyžadován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zámečnické dílně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rozvodně
- vnitřní hodiny v operátorské místnosti
- vnitřní hodiny v kanceláři vedoucího VD
- vnitřní hodiny v zasedací místnosti
- vnitřní hodiny v kuchyňce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</si>
  <si>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zachován s požadavkem připojení signalizace do nového ŘS a výměny kabeláže</t>
    </r>
  </si>
  <si>
    <r>
      <rPr>
        <u/>
        <sz val="10"/>
        <color rgb="FF000000"/>
        <rFont val="Segoe UI"/>
        <family val="2"/>
      </rPr>
      <t>VDI</t>
    </r>
    <r>
      <rPr>
        <sz val="10"/>
        <color rgb="FF000000"/>
        <rFont val="Segoe UI"/>
        <family val="2"/>
      </rPr>
      <t xml:space="preserve">
Pozice: dle pasportu kabelů a Projektové dokumentace
Info:
- zachovat přívodní kabely z DS a DG na VE a z DG na PK1
- zachovat kabel napájení ZAZ - jih
- zachovat kabel napájení ZAZ - střed
- zachovat kabel napájení ZAZ - sever v části zachovávané trasy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</si>
  <si>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jsou vyžadována provizoria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</si>
  <si>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Vyzískané materiály
Železo: 1.5t
Elektroodpad: 2t
Kabely: 2t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</si>
  <si>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
- podélné trasy na platech a dělící zdi (multikanály)
- dílčí přístupné trasy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
- ocelová chránička na lávce přes náhon VE
- trasa od pilíře k lávce přes náhon VE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trasy u budovy 2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</si>
  <si>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trasa ve strojovně horního uzávěru (horního ohlaví)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trasa ve strojovně v mostovce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</si>
  <si>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vertikální trasy v pilířích mostovky nad horním uzávěrem (horním ohlavím)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vertikální trasy v pilířích mostovky nad jezem</t>
    </r>
  </si>
  <si>
    <r>
      <t xml:space="preserve">PKx
</t>
    </r>
    <r>
      <rPr>
        <sz val="10"/>
        <color theme="1"/>
        <rFont val="Segoe UI"/>
        <family val="2"/>
      </rPr>
      <t>Pozice: dle výkresu
Info: kanály přes DO PK1 a PK2 vyjma oblasti na levém platu PK1</t>
    </r>
  </si>
  <si>
    <r>
      <t xml:space="preserve">PKx
</t>
    </r>
    <r>
      <rPr>
        <sz val="10"/>
        <color theme="1"/>
        <rFont val="Segoe UI"/>
        <family val="2"/>
      </rPr>
      <t>Pozice: dle výkresu
Info: kanál na levém platu PK1 u DO</t>
    </r>
  </si>
  <si>
    <r>
      <t>ZAZ</t>
    </r>
    <r>
      <rPr>
        <sz val="10"/>
        <color theme="1"/>
        <rFont val="Segoe UI"/>
        <family val="2"/>
      </rPr>
      <t xml:space="preserve">
Pozice: dle výkresu
Info: 
- trasy v okolí a do Budovy 1
- trasa v okolí Budovy 3</t>
    </r>
  </si>
  <si>
    <r>
      <t xml:space="preserve">ZAZ
</t>
    </r>
    <r>
      <rPr>
        <sz val="10"/>
        <color theme="1"/>
        <rFont val="Segoe UI"/>
        <family val="2"/>
      </rPr>
      <t>Pozice: dle popisu
Info:
- 1NP Budovy 1 (předpoklad 30m)
- další technologické prostory (není předpokládáno)</t>
    </r>
  </si>
  <si>
    <r>
      <t xml:space="preserve">ZAZ
</t>
    </r>
    <r>
      <rPr>
        <sz val="10"/>
        <color theme="1"/>
        <rFont val="Segoe UI"/>
        <family val="2"/>
      </rPr>
      <t>Pozice: dle popisu
Info:
- operátorská místnost
- kancelář vedoucího VD
- předpoklad 30m</t>
    </r>
  </si>
  <si>
    <r>
      <t xml:space="preserve">ZAZ
</t>
    </r>
    <r>
      <rPr>
        <sz val="10"/>
        <color theme="1"/>
        <rFont val="Segoe UI"/>
        <family val="2"/>
      </rPr>
      <t>Pozice: dle popisu
Info:
- rozšíření stávajícího prostupu mezi 1NP a 2NP v Budově 1 u nové interiérové trasy</t>
    </r>
  </si>
  <si>
    <r>
      <t xml:space="preserve">VEL
</t>
    </r>
    <r>
      <rPr>
        <sz val="10"/>
        <color theme="1"/>
        <rFont val="Segoe UI"/>
        <family val="2"/>
      </rPr>
      <t>Pozice: Velín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nový operátorský pult v operátorské místnosti
- obnova klimatizace (stávající 2x vnitřní, 2x vnější)
--- doplnění klimatizace do Technické místnosti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</si>
  <si>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8t
Elektroodpad: 0.1t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</si>
  <si>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
Info:
- 3 přívody
- zachovány přívodní kabely z DS
- požadavek na automatické přepínání přívodů
- požadavek na automatický start DG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</si>
  <si>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
- plato PKx
- mostovka HO PK1
Info:
- 7x PK1
- 4x PK2
- je zachován princip smyčkovaného napájení technologických rozvaděčů se zásuvkovými obvody
- u rozvaděč 1RM07 se předpokládá zachování a modifikace dle požadavků nového ŘS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strojovna
Info:
- 4x VZA
- je zachován princip smyčkovaného napájení technologických rozvaděčů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</si>
  <si>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rozvodna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</si>
  <si>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</si>
  <si>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
- 7x PK1
- 4x PK2
- je povoleno sloučení MOS s technologickým rozvaděčem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- 4x VZA
- je povoleno sloučení MOS s technologickým rozvaděčem</t>
    </r>
  </si>
  <si>
    <r>
      <rPr>
        <u/>
        <sz val="10"/>
        <rFont val="Segoe UI"/>
        <family val="2"/>
      </rPr>
      <t>PKx</t>
    </r>
    <r>
      <rPr>
        <sz val="10"/>
        <rFont val="Segoe UI"/>
        <family val="2"/>
      </rPr>
      <t xml:space="preserve">
Pozice: dle Projektové dokumentace
Info:
- 7x PK1
- 4x PK2
- je povoleno sloučení SOS s technologickým rozvaděčem
VZA
Pozice: dle Projektové dokumentace
Info:
- 4x VZA
- je povoleno sloučení SOS s technologickým rozvaděčem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</si>
  <si>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</si>
  <si>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</si>
  <si>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 osvětlení jezových polí z obou stran 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</si>
  <si>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
- strojovna HO PK1
- schodišťové šachty mostovky HO PK1
Info: řešení svítidel schoddišťových šachet odpovídá řešení ve schodišťových šachtách VZA (foto)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strojovna
- rozvodna
Info: rozvody i osvětlení ve schodišťových šachtách mostovky zůstávají zachovány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</si>
  <si>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výkresu
Info: nová zásuvková skříň v 5. jezovém pilíři za vstupem na VD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</si>
  <si>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</si>
  <si>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PK1, PK2, VZA, SPOL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</si>
  <si>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technická místnost (ZAZ dílna 1)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</si>
  <si>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páteřní technologické síť i propoj RIO/DIO je provedena optickým vedením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</si>
  <si>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</si>
  <si>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
Info: na dveřích rozvaděče pro SPOL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součást operátorského pultu pro PK1
- součást operátorského pultu pro PK2
- součást operátorského pultu pro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</si>
  <si>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</si>
  <si>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požadavek zdvojeného měření v horním a dolním prostoru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</si>
  <si>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nově zastřežení strojovny HO PK1
- nově zastřežení tabulí HO PK1
- nově zastřežení strojovny jezu
- nově zastřežení tabulí jezových polí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</si>
  <si>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perimetrická ochrana a venkovní PIR ošetřené proti falešným poplachům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</si>
  <si>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rozvodna VZA
- nová komunikační hláska místnost DG ZAZ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</si>
  <si>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rozvodně VZA
Info: koncová telefonní zařízení v rozbodně VZA 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</si>
  <si>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zdroj v technické místnosti (ZAZ dílna 1)
- venkovní hodiny dle pasportu
-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</si>
  <si>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</si>
  <si>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2t
Elektroodpad: 3.5t
Kabely: 3t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</si>
  <si>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dle skutečného stavu akce PK Modřany - rekonstrukce
- mírné odchylky od prezentovaných tras jsou možné
- předpokládané páteřní trasy na platech PK1 jsou preferenčně typu kabelový multikanál
- u zachovávaných kabelových tras je preferováno využití stávajících kabelových spojení instalovaných v rámci akce PK Modřany - rekonstrukce; případný zásah nebo doplnění na úrovni PK1 je odsouhlasen Správcem stavby. 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
- trasy ke vstupní bráně
- část trasy ke stání DG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zdvojené podlahy a stropní podhledy v prostoru operátoské místnosti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</si>
  <si>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
- obnova přístupných kabelových tras v jezové štole (kabelové lávky) včetně vystrojení vertikálních tras v šachtě na PK1 a jezových pilířích
- komunikační trasa v prostoru MVE je ve vlastnictví MVE
--- pouze výměna kabeláže + projednání s MVE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výkresu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trasa rozvodna / operátorská místnost
- trasa rozvodna / strojovna
- technologická šachta do chodby 3PP
- trasa do jezové štoly v 3PP</t>
    </r>
  </si>
  <si>
    <r>
      <t xml:space="preserve">ZAZ
</t>
    </r>
    <r>
      <rPr>
        <sz val="10"/>
        <color theme="1"/>
        <rFont val="Segoe UI"/>
        <family val="2"/>
      </rPr>
      <t>Pozice: dle výkresu
Info:
- dokončení / obnova trasy ke stání DG a k provozní budově
- vybudování trasy k přístřešku</t>
    </r>
  </si>
  <si>
    <r>
      <t xml:space="preserve">ZAZ
</t>
    </r>
    <r>
      <rPr>
        <sz val="10"/>
        <color theme="1"/>
        <rFont val="Segoe UI"/>
        <family val="2"/>
      </rPr>
      <t>Pozice: dle výkresu a Projektové dokumentace
Info:
- trasy rozvodů v provozní budově (předpoklad 100m)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- trasy rozvodů v operátorské místnosti a v dalších dotčených prostorách vyjma přístupných a zachovávaných tras (předpoklad 50m)</t>
    </r>
  </si>
  <si>
    <r>
      <t xml:space="preserve">VEL
</t>
    </r>
    <r>
      <rPr>
        <sz val="10"/>
        <color theme="1"/>
        <rFont val="Segoe UI"/>
        <family val="2"/>
      </rPr>
      <t>Pozice: Velín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nový operátorský pult v operátorské místnosti
- obnova klimatizace (aktuálně operátorská místnost, sklad 1NP, sklad 1PP)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</si>
  <si>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2t
Elektroodpad: 0.1t</t>
    </r>
  </si>
  <si>
    <r>
      <t xml:space="preserve">PK1
</t>
    </r>
    <r>
      <rPr>
        <sz val="10"/>
        <color theme="1"/>
        <rFont val="Segoe UI"/>
        <family val="2"/>
      </rPr>
      <t>Pozice: dle popisu
Info:
- pouze zapojení a zahrnutí do nového ŘS
- preferenčně stávající rozvody</t>
    </r>
  </si>
  <si>
    <r>
      <t xml:space="preserve">VEL
</t>
    </r>
    <r>
      <rPr>
        <sz val="10"/>
        <color theme="1"/>
        <rFont val="Segoe UI"/>
        <family val="2"/>
      </rPr>
      <t>Pozice: ve strojovně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- 3ks hydraulický rozvaděč
- bez filtrační jednotky</t>
    </r>
  </si>
  <si>
    <r>
      <t xml:space="preserve">PK1
</t>
    </r>
    <r>
      <rPr>
        <sz val="10"/>
        <color theme="1"/>
        <rFont val="Segoe UI"/>
        <family val="2"/>
      </rPr>
      <t>Pozice: dle popisu
Info:
- pouze zapojení a zahrnutí do nového ŘS
- preferenčně stávající ELE rozvody</t>
    </r>
  </si>
  <si>
    <r>
      <t>VZA</t>
    </r>
    <r>
      <rPr>
        <sz val="10"/>
        <color theme="1"/>
        <rFont val="Segoe UI"/>
        <family val="2"/>
      </rPr>
      <t xml:space="preserve">
Pozice: dle výkresu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výkresu</t>
    </r>
  </si>
  <si>
    <r>
      <t xml:space="preserve">PK1
</t>
    </r>
    <r>
      <rPr>
        <sz val="10"/>
        <color theme="1"/>
        <rFont val="Segoe UI"/>
        <family val="2"/>
      </rPr>
      <t>Pozice: dle skutečného stavu
Info:  pneumatické rozvody na dolní a střední ohlaví budou realizovány v rámci akce PK Modřany - rekonstrukce.</t>
    </r>
  </si>
  <si>
    <r>
      <t xml:space="preserve">VDI
</t>
    </r>
    <r>
      <rPr>
        <sz val="10"/>
        <color theme="1"/>
        <rFont val="Segoe UI"/>
        <family val="2"/>
      </rPr>
      <t>Pozice: dle Projektové dokumentace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</si>
  <si>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5t
Elektroodpad: 0.6t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</si>
  <si>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Info:
- 2 přívody
- zachován přívodní kabel z DS
- je zachováno zdvojené kabelové spojení (100 % záloha) mezi hlavním rozvaděčem a podružným rovaděčem v rozvodně VEL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</si>
  <si>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
Info:
3 x PK1
1 x VZA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</si>
  <si>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</si>
  <si>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místnost rozvaděčů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</si>
  <si>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
- 3x pro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
- 3x pro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</si>
  <si>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PK1 (HA)
- 1x PK1 (HO poklop. vrata)
</t>
    </r>
    <r>
      <rPr>
        <u/>
        <sz val="10"/>
        <color theme="1"/>
        <rFont val="Segoe UI"/>
        <family val="2"/>
      </rPr>
      <t xml:space="preserve">VEL </t>
    </r>
    <r>
      <rPr>
        <sz val="10"/>
        <color theme="1"/>
        <rFont val="Segoe UI"/>
        <family val="2"/>
      </rPr>
      <t xml:space="preserve">
Pozice: dle Projektové dokumentace
Info:
-  1x hydraulický agregát HO PK1 
- 1x hydraulický agregát VZA centrální
- 2x pohonná jednotka HA VZA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</si>
  <si>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</si>
  <si>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Projektové dokumentace
Info: přípojka pro mobilní DG na stávající pozici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</si>
  <si>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zachováno stávající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</si>
  <si>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</si>
  <si>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jezová štola
- jezové pilíře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místnost rozvaděčů
-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místnost rozvaděčů
- strojovna
- schodišťová šachta
- chodba v 3.PP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</si>
  <si>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zachovány stávající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</si>
  <si>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</si>
  <si>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místnost rozvaděčů
Info: na dveřích rozvaděče pro SPOL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součást operátorského pultu pro PK1
- součást operátorského pultu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</si>
  <si>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na MVE/VE - předpoklad vyvolané investice na straně MVE do 200 000,- Kč
- na datové centrum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</si>
  <si>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
- zachovány stávající
- připojení do nového ŘS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</si>
  <si>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teplota vody je stávající a je pouze připojena do nového ŘS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</si>
  <si>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nově zastřežení dvou hlavních vchodů do provozní budovy z ulice Vltavanů 
- nově zastřežení schodiště a lávky na východní straně jižního křídla provozní budovy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</si>
  <si>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doplnění kouřových senzorů do všech místností kotelny v ZAZ
- kompletní vystrojení včetně klávesnice pro odkódování v kanceláři vedoucího VD v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</si>
  <si>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pouze výměna tabulí a návěstidel (LED reflektorů)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</si>
  <si>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</si>
  <si>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</si>
  <si>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</si>
  <si>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</si>
  <si>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 U kabelových spojení souvisejících s funkčním celkem PK1 je preferováno využití stávajících kabelových spojení instalovaných v rámci akce </t>
    </r>
    <r>
      <rPr>
        <i/>
        <sz val="10"/>
        <color theme="1"/>
        <rFont val="Segoe UI"/>
        <family val="2"/>
      </rPr>
      <t>PK Modřany - rekonstrukce</t>
    </r>
    <r>
      <rPr>
        <sz val="10"/>
        <color theme="1"/>
        <rFont val="Segoe UI"/>
        <family val="2"/>
      </rPr>
      <t xml:space="preserve">. Případný zásah nebo doplnění na úrovni PK1 je odsouhlasen Správcem stavby. 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</si>
  <si>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stávající zásuvková skříň v ZAZ jsou demontovány a zlikvidovány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Železo: 1t
Elektroodpad: 2.5t
Kabely: 2t</t>
    </r>
  </si>
  <si>
    <r>
      <t xml:space="preserve">VDI
</t>
    </r>
    <r>
      <rPr>
        <sz val="10"/>
        <color theme="1"/>
        <rFont val="Segoe UI"/>
        <family val="2"/>
      </rPr>
      <t xml:space="preserve">Pozice: dle výkresu
Info:
- čekací stání
- trasa od sjezdu - na špičku ostrova
- trasa od PKx k MVE (podmíněně)
</t>
    </r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 xml:space="preserve">Pozice: dle výkresu
Info: shybka pod PK2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shybka pod VZA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zdvojené podlahy ve velínu (bez indikace délky)</t>
    </r>
  </si>
  <si>
    <r>
      <t xml:space="preserve">PKx
</t>
    </r>
    <r>
      <rPr>
        <sz val="10"/>
        <color theme="1"/>
        <rFont val="Segoe UI"/>
        <family val="2"/>
      </rPr>
      <t xml:space="preserve">Pozice: dle výkresu
Info: nová ocelová chránička s PKO pod PKx na dělící zdi pod mostním pilířem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
- obnova vystrojení shybky pod VZA
- obnova vystrojení vertikálních tras v šachtách a trasy k ovládacímu místu jezu na pravém břehu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obnova vystrojení kabelových tras ve strojovně a v sestupné šachtě z rozvodny (bez indikace délky)</t>
    </r>
  </si>
  <si>
    <r>
      <t xml:space="preserve">PKx
</t>
    </r>
    <r>
      <rPr>
        <sz val="10"/>
        <color theme="1"/>
        <rFont val="Segoe UI"/>
        <family val="2"/>
      </rPr>
      <t>Pozice: dle výkresu
Info:
- levé plato pod PK1, vybourání stávající trasy, nový kabelový kanál
- dělící zeď, obnova v trasách původních kanálů (včetně dvojkanálů)
- dělící zeď mezi PKx a kanálem pod PKx až po pilíř viaduktu - vybourání stávající trasy, nový kabelový kanál
- pravé plato (dělící zeď mezi PK2 a sportovním kanálem), obnova v trasách původních kanálů včetně obnovy poklopů trasy hydraulického rozvodu (hydraulické rozvody jsou zachovány)
- dobudování kabelových kanálů pro pneumatické rozvody na SO PK1 a PK2</t>
    </r>
  </si>
  <si>
    <r>
      <t xml:space="preserve">PKx
</t>
    </r>
    <r>
      <rPr>
        <sz val="10"/>
        <color theme="1"/>
        <rFont val="Segoe UI"/>
        <family val="2"/>
      </rPr>
      <t>Pozice: dle výkresu
Info:
- levé plato PK1
--- obnova v trasách původních kanálů (včetně dvojkanálů) 
--- v okolí provozní budovy jsou poklopy dělené na dílce do 50kg váhy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trasa pod Hlávkovým mostem</t>
    </r>
  </si>
  <si>
    <r>
      <t xml:space="preserve">VDI
</t>
    </r>
    <r>
      <rPr>
        <sz val="10"/>
        <color theme="1"/>
        <rFont val="Segoe UI"/>
        <family val="2"/>
      </rPr>
      <t>Pozice: dle výkresu
Info:
- nová propojovací trasa mezi čekacím stáním ŘVC a trasou mezi sjezdem a špičkou ostrova, 2 chráničky
- proměření kabeláže na trase mezi PK1 a MVE, pokud nevyhoví, je vybudována nová kabelová trasa (2 chráničky). Pro účely nabídky se uvažuje, že kabeláž vyhoví
--- práce pod podmíněnými obnosy</t>
    </r>
    <r>
      <rPr>
        <u/>
        <sz val="10"/>
        <color theme="1"/>
        <rFont val="Segoe UI"/>
        <family val="2"/>
      </rPr>
      <t xml:space="preserve">
PKx</t>
    </r>
    <r>
      <rPr>
        <sz val="10"/>
        <color theme="1"/>
        <rFont val="Segoe UI"/>
        <family val="2"/>
      </rPr>
      <t xml:space="preserve">
Pozice: dle výkresu
Info: propojení dělící zdi u DO PK2 s dělící zdí pod PK2</t>
    </r>
  </si>
  <si>
    <r>
      <t xml:space="preserve">ZAZ
</t>
    </r>
    <r>
      <rPr>
        <sz val="10"/>
        <color theme="1"/>
        <rFont val="Segoe UI"/>
        <family val="2"/>
      </rPr>
      <t>Pozice: dle popisu
Info: rozvody v provozní budově (předpoklad 100m)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</si>
  <si>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 vybourání stávající shybky, obnova v původní trase
</t>
    </r>
    <r>
      <rPr>
        <u/>
        <sz val="10"/>
        <color theme="1"/>
        <rFont val="Segoe UI"/>
        <family val="2"/>
      </rPr>
      <t>PK2</t>
    </r>
    <r>
      <rPr>
        <sz val="10"/>
        <color theme="1"/>
        <rFont val="Segoe UI"/>
        <family val="2"/>
      </rPr>
      <t xml:space="preserve">
Pozice: dle výkresu
Info: 
- zachování stavajících shybek přes PK2 (kabelová, hydraulická)
--- obnova vystrojení kabelové shybky včetně záklopu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
- zachování stavajících shybek pod VZA (kabelová, hydraulická)
--- obnova vystrojení kabelové shybky</t>
    </r>
  </si>
  <si>
    <r>
      <t xml:space="preserve">PKx
</t>
    </r>
    <r>
      <rPr>
        <sz val="10"/>
        <color theme="1"/>
        <rFont val="Segoe UI"/>
        <family val="2"/>
      </rPr>
      <t>Pozice: dle pasportu
Info: na PK1, standardní výška</t>
    </r>
  </si>
  <si>
    <r>
      <t xml:space="preserve">VDI
</t>
    </r>
    <r>
      <rPr>
        <sz val="10"/>
        <color theme="1"/>
        <rFont val="Segoe UI"/>
        <family val="2"/>
      </rPr>
      <t>Pozice: dle popisu
Info: napojení trasy na čekacím stání na nově budovaný úsekem ke sjezdu</t>
    </r>
  </si>
  <si>
    <r>
      <t>VZA</t>
    </r>
    <r>
      <rPr>
        <sz val="10"/>
        <color theme="1"/>
        <rFont val="Segoe UI"/>
        <family val="2"/>
      </rPr>
      <t xml:space="preserve">
Pozice: dle popisu
Info: prostupy mezi technologickými šachtami a shybkou VZA pro veškerou kabeláž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 xml:space="preserve">Pozice: dle popisu
Info: prostup kabeláže do hlavní rozvodny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 prostupy ze strojovny pro nové pneumatické rozvody (3 potrubí na jeden prostup)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</si>
  <si>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 (dělení do výklenků je předmětem Projektové dokumentace)
- obnova klimatizace (aktuálně 3 vnitřní a 3 vnější jednotky)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</si>
  <si>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43t
Elektroodpad: 0.1t</t>
    </r>
  </si>
  <si>
    <r>
      <t xml:space="preserve">PKx
</t>
    </r>
    <r>
      <rPr>
        <sz val="10"/>
        <color theme="1"/>
        <rFont val="Segoe UI"/>
        <family val="2"/>
      </rPr>
      <t>Pozice: dle pasportu
Info: PK1</t>
    </r>
  </si>
  <si>
    <r>
      <t xml:space="preserve">VEL
</t>
    </r>
    <r>
      <rPr>
        <sz val="10"/>
        <color theme="1"/>
        <rFont val="Segoe UI"/>
        <family val="2"/>
      </rPr>
      <t>Pozice: dle pasportu
Info:
- pouze 1 pohonná jednotka
- 2x hydraulický rozvaděč
- včetně filtrační jednotky</t>
    </r>
  </si>
  <si>
    <r>
      <t xml:space="preserve">PKx
</t>
    </r>
    <r>
      <rPr>
        <sz val="10"/>
        <color theme="1"/>
        <rFont val="Segoe UI"/>
        <family val="2"/>
      </rPr>
      <t>Pozice: dle pasportu
Info: náhrada hydraulických servomotorů vrátní a obtoků na PK2</t>
    </r>
  </si>
  <si>
    <r>
      <t xml:space="preserve">VEL
</t>
    </r>
    <r>
      <rPr>
        <sz val="10"/>
        <color theme="1"/>
        <rFont val="Segoe UI"/>
        <family val="2"/>
      </rPr>
      <t>Pozice: dle pasportu
Info:
- nové dmychadlo nebo dmychadla dimenzovaná pro 6ks bublinkovacích zařízení (souběžný provoz max. 2 bublinkovacích zařízení)
- bez podstavce a krytu, kotvení k podlaze strojovny</t>
    </r>
  </si>
  <si>
    <r>
      <t xml:space="preserve">PKx
</t>
    </r>
    <r>
      <rPr>
        <sz val="10"/>
        <color theme="1"/>
        <rFont val="Segoe UI"/>
        <family val="2"/>
      </rPr>
      <t>Pozice: dle pasportu a výkresu
Info:
- výměna stávajících bublinkovacích zařízení na HO a DO PK1 a PK2
- nová bublinkovací zařízení na SO PK1 a PK2</t>
    </r>
  </si>
  <si>
    <r>
      <t xml:space="preserve">PKx
</t>
    </r>
    <r>
      <rPr>
        <sz val="10"/>
        <color theme="1"/>
        <rFont val="Segoe UI"/>
        <family val="2"/>
      </rPr>
      <t>Pozice: dle pasportu
Info: pouze u agregátů na PK1</t>
    </r>
  </si>
  <si>
    <r>
      <t>VZA</t>
    </r>
    <r>
      <rPr>
        <sz val="10"/>
        <color theme="1"/>
        <rFont val="Segoe UI"/>
        <family val="2"/>
      </rPr>
      <t xml:space="preserve">
Pozice: dle výkresu
Info: pouze napojení stávajících nerezových rozvodů na hydraulické rozvaděče ve strojovně + kompletní výměna hydraulického oleje</t>
    </r>
  </si>
  <si>
    <r>
      <t xml:space="preserve">PKx
</t>
    </r>
    <r>
      <rPr>
        <sz val="10"/>
        <color theme="1"/>
        <rFont val="Segoe UI"/>
        <family val="2"/>
      </rPr>
      <t>Pozice: dle výkresu a popisu
Info:
- dle dipozic měněných a nově budovaných bublinkovacích zařízení
- na dělící zdi PKx od velínu směrem po vodě jsou rozvody vedeny v souběhu s elektro rozvody v kabelových kanálech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</si>
  <si>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 (pod mostem)
Info:
- 3 přívody
-  zachovány přívodní kabely z DS a MVE
- požadavek na automatické přepínání mezi DS a MVE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</si>
  <si>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- 3x pro PK1
- 3x pro PK2
- 1x pro VZA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</si>
  <si>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rozvodna</t>
    </r>
    <r>
      <rPr>
        <u/>
        <sz val="10"/>
        <color theme="1"/>
        <rFont val="Segoe UI"/>
        <family val="2"/>
      </rPr>
      <t xml:space="preserve">
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</si>
  <si>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</si>
  <si>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rgb="FF000000"/>
        <rFont val="Segoe UI"/>
        <family val="2"/>
      </rPr>
      <t xml:space="preserve">PKx
</t>
    </r>
    <r>
      <rPr>
        <sz val="10"/>
        <color rgb="FF000000"/>
        <rFont val="Segoe UI"/>
        <family val="2"/>
      </rPr>
      <t xml:space="preserve">Pozice: dle pasportu
Info:
-3x PK1
-3x PK2
</t>
    </r>
    <r>
      <rPr>
        <u/>
        <sz val="10"/>
        <color rgb="FF000000"/>
        <rFont val="Segoe UI"/>
        <family val="2"/>
      </rPr>
      <t xml:space="preserve">VZA
</t>
    </r>
    <r>
      <rPr>
        <sz val="10"/>
        <color rgb="FF000000"/>
        <rFont val="Segoe UI"/>
        <family val="2"/>
      </rPr>
      <t>Pozice: dle pasportu
Info:
-2x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</si>
  <si>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
- 6x PK1 (HA)
- 6x PK2 (LP)
- u lineárních elektromechanických pohonů se uvežuje společná servisní ovládací skříň na vráteň a segment obtoku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 
Pozice: dle Projektové dokumentace
Info:
- 2x VZA 
- 1x hydraulický agregát VZA centrální
- 1x dmychadlo bublinkování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</si>
  <si>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</si>
  <si>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výkresu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
- osvětlení pod mostem nad HO pod mostem nad HO PK1 je ovládáno lokálními vypínači
- osvětlení provozní budovy je ovládáno PIR senzorem 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</si>
  <si>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šachet VZA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rozvodna</t>
    </r>
    <r>
      <rPr>
        <u/>
        <sz val="10"/>
        <color theme="1"/>
        <rFont val="Segoe UI"/>
        <family val="2"/>
      </rPr>
      <t xml:space="preserve">
VEL</t>
    </r>
    <r>
      <rPr>
        <sz val="10"/>
        <color theme="1"/>
        <rFont val="Segoe UI"/>
        <family val="2"/>
      </rPr>
      <t xml:space="preserve">
Pozice:
- operátorská místnost
- rozvodna
- strojovna
Info: zapojení stávajícího nouzového osvětlení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</si>
  <si>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</si>
  <si>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na dělící zdi u pozic ZS1, ZS2 a ZS3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</si>
  <si>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VZA,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</si>
  <si>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operátorské PC má 2 samostatné výstupy na operátorská stanoviště (1x stanoviště PK1, 1x stanoviště PK2) v rozshau:
- monitor
- klávesnice
- myš
vše bez KVM přepínače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</si>
  <si>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kancelář vedoucího VD
- kancelář MVE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</si>
  <si>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 dělený na dvě operátorská stanoviště (samostatný pro PK1 a PK2)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</si>
  <si>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součást operátorského pultu pro PK2
- součást operátorského pultu PK2 pro VZA
- na dveřích rozvaděče pro SPOL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</si>
  <si>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</si>
  <si>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- doplnění operační kamery s dohledem na VZA a sportovní kanál
- nově operační kamera na východní konec čekacího stání
- nově zastřežení vstupní branky
- nově zastřežení vjezdové brány
- začlenění kamer v areálu MVE: 2ks otočné, 3ks pevné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</si>
  <si>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doplnění kouřového senzoru, PIR a magnetu do rozvodny ZAZ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</si>
  <si>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u vchodu do provozní budovy z ulice
- nová komunikační hláska u branky vedle provozní budovy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</si>
  <si>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
Info: je třeba řešit i zapojení koncového zařízení v MVE do systému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</si>
  <si>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</si>
  <si>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jsou vyžadována provizoria
- ve strojovně velínu je požadavek na respektování stavájícího designového provedení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</si>
  <si>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demontáž stávající rozvodnice v předsíní ZAZ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1.5t
Elektroodpad: 3t
Kabely: 3.5t</t>
    </r>
  </si>
  <si>
    <r>
      <t xml:space="preserve">VDI
</t>
    </r>
    <r>
      <rPr>
        <sz val="10"/>
        <color theme="1"/>
        <rFont val="Segoe UI"/>
        <family val="2"/>
      </rPr>
      <t>Pozice: dle popisu
Info:
- trasa propojující objekt velínu VZA a velínu PKx (2500 m)
--- pro účely díla se předpokládá, že kabelová trasa je již vybudována a osazena optickým kabelem
--- bez indikace délky</t>
    </r>
    <r>
      <rPr>
        <u/>
        <sz val="10"/>
        <color theme="1"/>
        <rFont val="Segoe UI"/>
        <family val="2"/>
      </rPr>
      <t xml:space="preserve">
PKx
</t>
    </r>
    <r>
      <rPr>
        <sz val="10"/>
        <color theme="1"/>
        <rFont val="Segoe UI"/>
        <family val="2"/>
      </rPr>
      <t xml:space="preserve">Pozice: dle výkresu
Info:
- shybky pod PK1 a PK2
- kabelový kanál na parkovišti na levém platu PK1
- trasa na pravém platu PK2 od DO na pravý břeh plavebního kanálu
</t>
    </r>
    <r>
      <rPr>
        <u/>
        <sz val="10"/>
        <color theme="1"/>
        <rFont val="Segoe UI"/>
        <family val="2"/>
      </rPr>
      <t xml:space="preserve">ZAZ PKx
</t>
    </r>
    <r>
      <rPr>
        <sz val="10"/>
        <color theme="1"/>
        <rFont val="Segoe UI"/>
        <family val="2"/>
      </rPr>
      <t xml:space="preserve">Pozice: dle výkresu
Info: kanál s betonovým poklopem do trafostanice
</t>
    </r>
    <r>
      <rPr>
        <u/>
        <sz val="10"/>
        <color theme="1"/>
        <rFont val="Segoe UI"/>
        <family val="2"/>
      </rPr>
      <t xml:space="preserve">VEL PKx
</t>
    </r>
    <r>
      <rPr>
        <sz val="10"/>
        <color theme="1"/>
        <rFont val="Segoe UI"/>
        <family val="2"/>
      </rPr>
      <t xml:space="preserve">Pozice: dle popisu
Info: zdvojené podlahy a stropy v operátorské místnosti a v rozvodně (bez indikace délky)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dle výkresu
Info:
- průchod pod kolejovou trasou u MVE
- trasa od MVE k hladinové sondě (ve zdi)
- průchod kabelového kanálu pod nově zbudovanou komunikací k uzávěru plavebního kanálu
- propojení kasematy a ovládání sportovní propusti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 zdvojené podlahy ve velínu (bez indikace délky)</t>
    </r>
  </si>
  <si>
    <r>
      <t>VZA</t>
    </r>
    <r>
      <rPr>
        <sz val="10"/>
        <color theme="1"/>
        <rFont val="Segoe UI"/>
        <family val="2"/>
      </rPr>
      <t xml:space="preserve">
Pozice: dle výkresu</t>
    </r>
  </si>
  <si>
    <r>
      <t xml:space="preserve">ZAZ VZA
</t>
    </r>
    <r>
      <rPr>
        <sz val="10"/>
        <color theme="1"/>
        <rFont val="Segoe UI"/>
        <family val="2"/>
      </rPr>
      <t>Pozice: dle výkresu
Info:
- nový kanál mezi komunikací a plotem (trasa od vjezdové brány do trafostanice, 214m)
--- trasa je oddělena od komunikace zvýšenou hranou / obrubníkem, nebo umístěna v příkopu pro zamezení nájezdu těžké mechanizace
- obnova kanálu (trasa od vjezdové brány k MVE vyjma úseku pod komunikací k uzáveru plavebního kanálu, 124m)
--- souběh s VN a pitnou vodou - zachovat
- obě trasy jsou pod zásypem hlínou + ohumusování + osetí</t>
    </r>
  </si>
  <si>
    <r>
      <t xml:space="preserve">PKx
</t>
    </r>
    <r>
      <rPr>
        <sz val="10"/>
        <color theme="1"/>
        <rFont val="Segoe UI"/>
        <family val="2"/>
      </rPr>
      <t>Pozice: dle výkresu
Info:
- kanály na dělící zdi
- kanál na pravém platu PK2 (vyjma prostoru u DO a HO)
- nový kanál na levém platu PK1 v travnatém prostoru
- úprava trasy na dělící zdi u DO PK2 - reflexe nového podstavce pod HA
- nový kanál pro odbočku pneumatického rozvodu na dělící zdi k DO PK1
- mezi MVE v obtocích PK2 a čistící strojem na nátoku do MVEu HO je souběh kabeláže s hydraulickým vedením - možnost výskytu hydraulického oleje - je třeba vyřešit bezpečné oddělení hydraulických a kabelových tras (možno přímo v rámci jednoho kanálu) pro zamezení kontaktu kabeláže s hydraulickým olejem a únikům hydraulického oleje do povrchových vod</t>
    </r>
  </si>
  <si>
    <r>
      <t xml:space="preserve">PKx
</t>
    </r>
    <r>
      <rPr>
        <sz val="10"/>
        <color theme="1"/>
        <rFont val="Segoe UI"/>
        <family val="2"/>
      </rPr>
      <t>Pozice: dle výkresu
Info: 
- prostory na pravém platu PK2 u DO a HO
- mezi MVE v obtocích PK2 a čistící strojem na nátoku do MVE u HO je souběh kabeláže s hydraulickým vedením - možnost výskytu hydraulického oleje - je třeba vyřešit bezpečné oddělení hydraulických a kabelových tras (možno přímo v rámci jednoho kanálu) pro zamezení kontaktu kabeláže s hydraulickým olejem a únikům hydraulického oleje do povrchových vod</t>
    </r>
  </si>
  <si>
    <r>
      <t xml:space="preserve">ZAZ PKx
</t>
    </r>
    <r>
      <rPr>
        <sz val="10"/>
        <color theme="1"/>
        <rFont val="Segoe UI"/>
        <family val="2"/>
      </rPr>
      <t xml:space="preserve">Pozice: dle výkresu
Info: trasa k osvětlení plavebního kanálu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
Info: od kolejové trasy ke špičce ostrova (3 lampy)</t>
    </r>
  </si>
  <si>
    <r>
      <t xml:space="preserve">ZAZ PKx
</t>
    </r>
    <r>
      <rPr>
        <sz val="10"/>
        <color theme="1"/>
        <rFont val="Segoe UI"/>
        <family val="2"/>
      </rPr>
      <t xml:space="preserve">Pozice: dle výkresu
Info: trasa k vjezdové bráně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
Info: trasy v areálu provozních budov</t>
    </r>
  </si>
  <si>
    <r>
      <t xml:space="preserve">VEL PKx + VEL VZA 
</t>
    </r>
    <r>
      <rPr>
        <sz val="10"/>
        <color theme="1"/>
        <rFont val="Segoe UI"/>
        <family val="2"/>
      </rPr>
      <t>Preferenční trasy ve velínech pokud bude třeba. Není předpokládáno.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</si>
  <si>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je provedeno vyčištění chrániček shybky (3x3)
- souběh s pitnou vodou - zachovat
</t>
    </r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>Pozice: dle výkresu
Info:
- je provedeno vyčištění chrániček shybky (3x3)</t>
    </r>
  </si>
  <si>
    <r>
      <t xml:space="preserve">PK1
</t>
    </r>
    <r>
      <rPr>
        <sz val="10"/>
        <color theme="1"/>
        <rFont val="Segoe UI"/>
        <family val="2"/>
      </rPr>
      <t>Pozice: dle výkresu
Info:
- nová shybka pro hydraulický rozvod u HO
- vedení mezi klapkou a rozražečem (viz foto)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zaslepení stávající shybky</t>
    </r>
  </si>
  <si>
    <r>
      <t xml:space="preserve">PKx
</t>
    </r>
    <r>
      <rPr>
        <sz val="10"/>
        <color theme="1"/>
        <rFont val="Segoe UI"/>
        <family val="2"/>
      </rPr>
      <t>Pozice: dle výkresu
Info:
- dispozičně v místech 1AG11, 1AG31, 1AG32, 2AG31, 2AG32
- u podstavce pro 2AG31 je adekvátně upravena kabelová trasa
- kromě 1AG11 jsou pro založení podstavců využity niky stávajících HA</t>
    </r>
  </si>
  <si>
    <r>
      <t>VZA</t>
    </r>
    <r>
      <rPr>
        <sz val="10"/>
        <color theme="1"/>
        <rFont val="Segoe UI"/>
        <family val="2"/>
      </rPr>
      <t xml:space="preserve">
Pozice: dle pasportu
Info: 
- podstavec pro 3AG3
- minimální výška
- keson není odklápěcí, ale zdvižný; podstavec je umístěn a dimenzován tak, aby bylo možné bezproblémové sejmutí kesonu 2 osobami s ohledem na omezenou výšku stropu</t>
    </r>
  </si>
  <si>
    <r>
      <t>ZAZ VZA</t>
    </r>
    <r>
      <rPr>
        <sz val="10"/>
        <color theme="1"/>
        <rFont val="Segoe UI"/>
        <family val="2"/>
      </rPr>
      <t xml:space="preserve">
Pozice: dle výkresu a popisu
Info: obnova vodotěsných prostupů veškeré kabeláže mezi ZAZ VZA a VEL VZA (MVE) v šachtě cca 1m x 1m</t>
    </r>
  </si>
  <si>
    <r>
      <t xml:space="preserve">VEL VZA
</t>
    </r>
    <r>
      <rPr>
        <sz val="10"/>
        <color theme="1"/>
        <rFont val="Segoe UI"/>
        <family val="2"/>
      </rPr>
      <t>Pozice: dle popisu
Info: obnova protipožárních ucpávek v budově velínu / MVE</t>
    </r>
  </si>
  <si>
    <r>
      <t xml:space="preserve">VEL PKx
</t>
    </r>
    <r>
      <rPr>
        <sz val="10"/>
        <color theme="1"/>
        <rFont val="Segoe UI"/>
        <family val="2"/>
      </rPr>
      <t xml:space="preserve">Pozice: operátorská místnost
Info:
- nový operátorský pult
- obnova klimatizace (aktuálně 3 vnitřní a 2 venkovní)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kancelář vedoucího VD
Info: obnova klimatizace (aktuálně 2 venkovní a 2 vnitřní)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
Info:
- nový operátorský pult
- obnova klimatizace (aktuálně 1 vnitřní a 1 venkovní)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</si>
  <si>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 není požadavek na zrušení trasy stávajícího kabelového kanálu mezi velínem a zázemím VZA v areálu Policie ČR, v trase je zachováno vedení VN a pitné vody (blíže viz 5.13)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27t
Elektroodpad: 0.1t</t>
    </r>
  </si>
  <si>
    <r>
      <t xml:space="preserve">PKx
</t>
    </r>
    <r>
      <rPr>
        <sz val="10"/>
        <color theme="1"/>
        <rFont val="Segoe UI"/>
        <family val="2"/>
      </rPr>
      <t xml:space="preserve">Pozice: dle pasportu na nových betonových podstavcích
Info:
- nové agregáty 1AG31, 1AG32, 2AG31, 2AG32
- stávající agregát 1AG11 je přesunut na nový podstavec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3AG3 v kasematách</t>
    </r>
  </si>
  <si>
    <r>
      <t xml:space="preserve">PKx
</t>
    </r>
    <r>
      <rPr>
        <sz val="10"/>
        <color theme="1"/>
        <rFont val="Segoe UI"/>
        <family val="2"/>
      </rPr>
      <t>Pozice: dle pasportu
Info: nový agregát 2AG12 v suché strojovně</t>
    </r>
  </si>
  <si>
    <r>
      <t xml:space="preserve">VEL VZA
</t>
    </r>
    <r>
      <rPr>
        <sz val="10"/>
        <color theme="1"/>
        <rFont val="Segoe UI"/>
        <family val="2"/>
      </rPr>
      <t>Pozice: dle pasportu
Info:
- 6x hydraulický rozvaděč
- včetně filtrační jednotky</t>
    </r>
  </si>
  <si>
    <r>
      <t xml:space="preserve">PKx
</t>
    </r>
    <r>
      <rPr>
        <sz val="10"/>
        <color theme="1"/>
        <rFont val="Segoe UI"/>
        <family val="2"/>
      </rPr>
      <t>Pozice: dle výkresu
Info: společné dmychadlo pro bublinkovací zařízení PK1 a PK2</t>
    </r>
  </si>
  <si>
    <r>
      <t xml:space="preserve">PKx
</t>
    </r>
    <r>
      <rPr>
        <sz val="10"/>
        <color theme="1"/>
        <rFont val="Segoe UI"/>
        <family val="2"/>
      </rPr>
      <t>Pozice: dle pasportu a výkresu
Info:
- obnova na DO PK2
- nové na DO PK1</t>
    </r>
  </si>
  <si>
    <r>
      <t xml:space="preserve">PKx
</t>
    </r>
    <r>
      <rPr>
        <sz val="10"/>
        <color theme="1"/>
        <rFont val="Segoe UI"/>
        <family val="2"/>
      </rPr>
      <t>Pozice: dle pasportu a Projektové dokumentace
Info:
- včetně rozvodu nově budovanou shybkou na HO PK1 k hradícímu mechanismu obtoku na dělící zdi</t>
    </r>
  </si>
  <si>
    <r>
      <t>VZA</t>
    </r>
    <r>
      <rPr>
        <sz val="10"/>
        <color theme="1"/>
        <rFont val="Segoe UI"/>
        <family val="2"/>
      </rPr>
      <t xml:space="preserve">
Pozice: dle pasportu a Projektové dokumentace</t>
    </r>
  </si>
  <si>
    <r>
      <t>VZA</t>
    </r>
    <r>
      <rPr>
        <sz val="10"/>
        <color theme="1"/>
        <rFont val="Segoe UI"/>
        <family val="2"/>
      </rPr>
      <t xml:space="preserve">
Pozice: dle výkresu a Projektové dokumentace</t>
    </r>
  </si>
  <si>
    <r>
      <t xml:space="preserve">PKx
</t>
    </r>
    <r>
      <rPr>
        <sz val="10"/>
        <color theme="1"/>
        <rFont val="Segoe UI"/>
        <family val="2"/>
      </rPr>
      <t>Pozice: dle výkresu a Projektové dokumentace
Info: od nového dmychadla k bublinkovacím zařízením v souběhu s ELE v kabelovém kanálu, odbočka k DO PK1 nově zbudovaným kanálem.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</si>
  <si>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není požadována demontáž stávající shybky hydraulického rozvodu na HO PK1, pouze zaslepení rozvodů.
- demontáž a likvidace dmychadla M22, stávající penumatické rozvody jsou ponechány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10t
Elektroodpad: 1.6t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</si>
  <si>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Info:
- 2 přívody
-  zachovány přívodní kabely z DS ze dvou míst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velín (na chodbě)
Info:
- 3 přívody
-  zachovány přívodní kabely z DS a MVE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</si>
  <si>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Info: 
- 2x pro PK1
- 2x pro PK2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1x pro VZA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</si>
  <si>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</si>
  <si>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- 2x pro PK1
- 2x pro PK2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
- 6x pro VZA
- 1x pro vorová propust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</si>
  <si>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
- 5x místní hydraulický agregát PKx
- 1x centrální hydraulický agregát PKx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
- 1x hydraulický agregát - kasematy
- 1x u servomotoru klapky - vorová propust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</si>
  <si>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
Info: VD je řešeno jako dvě samostatné části (PKx a VZA) pro případ neexistence optického propoje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</si>
  <si>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 přesunutí / přeložka přípojného místa pro mobilní DG v zázemí PKx z pravého břehu na levý břeh (provozní budova)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obnova přípojného místa pro mobilní DG na noze velínu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</si>
  <si>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 xml:space="preserve">ZAZ PKx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 a výkresu
Info: v rámci budování nové kabelové trasy (kabelový kanál) mezi velínem VZA a trafostanicí v zázemí VZA je demontováno a po vybudování trasy znovu osazeno 6 stožárů lamp venkovního osvětlení (viz výkres). Předpokládá se využití původních stožárů.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</si>
  <si>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</si>
  <si>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2x suchá strojovna na HO PK2
</t>
    </r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
- operátorská místnost
- rozvodna
- schodiště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kasemata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operátoská místnost / rozvodna
- strojovna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</si>
  <si>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pasportu
Info: nová zásuvková skříň na noze velínu VZA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</si>
  <si>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nová skříň na noze velínu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</si>
  <si>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SPOL PKx, VZA, SPOL VZA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</si>
  <si>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
Info: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</si>
  <si>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páteřní technologické síť je provedena optickým vedením
- VD je řešeno jako dvě samostatné části (PKx a VZA) pro případ neexistence optického propoje - dvě technologické sitě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</si>
  <si>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 
- přizpůsobená technologickým celkům na VD (SCADA/HMI)
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</si>
  <si>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</si>
  <si>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</si>
  <si>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
- operátorská místnost
- rozvodna
Info:
- součást operátorského pultu pro PK1
- součást operátorského pultu pro PK2
- na dveřích rozvaděče pro SPOL PKx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rozvodna
Info:
- součást operátorského pultu pro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</si>
  <si>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</si>
  <si>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</si>
  <si>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</si>
  <si>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pod VZA dle Projektové dokumentace
Info: měření hladiny pod VZA včetně vystrojení (nerez)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</si>
  <si>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
Info: bez dohledoměru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</si>
  <si>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VD je řešeno jako dvě samostatné části (PKx+ZAZ PKx a VZA+ZAZ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</si>
  <si>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předignalizace pod PKx není součástí
- předsignalizace na velínu VZA není součástí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</si>
  <si>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VD je řešeno jako dvě samostatné části (PKx+ZAZ PKx a VZA+ZAZ VZA) pro případ neexistence optického propoje
- není třeba zajišťovat komunikační linku mezi kanceláří vedoucího VD a velínem jezu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</si>
  <si>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PKx
- ústředna v kanceláři VD
Info: VD je řešeno jako dvě samostatné části (PKx+ZAZ PKx a VZA+ZAZ VZA) pro případ neexistence optického propoje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</si>
  <si>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popisu
Info: venkovní podsvícené hodiny jsou instalovány na místech a v počtech zajišťujících viditelnost z horní i dolní vody obou plavebních komor
</t>
    </r>
    <r>
      <rPr>
        <u/>
        <sz val="10"/>
        <color theme="1"/>
        <rFont val="Segoe UI"/>
        <family val="2"/>
      </rPr>
      <t>VEL PKx</t>
    </r>
    <r>
      <rPr>
        <sz val="10"/>
        <color theme="1"/>
        <rFont val="Segoe UI"/>
        <family val="2"/>
      </rPr>
      <t xml:space="preserve">
Pozice: 
- zdroj v operátorské místnosti
- vnitřní hodiny v operátorské místnosti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 xml:space="preserve">Pozice: dle pasportu
Info: venkovní hodiny u vorové propusti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
- ústředna v kanceláři vedoucího VD
- vnitřní hodiny v kanceláři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</si>
  <si>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 a výkresu
Info:
- stávající systém SONICO je demontován  a zlikvidován
- dvě lampy VO na velínu VZA jsou demontovány a zlikvidovány
- předsignalizace pod PKx a na velínu VZA je demontována a zlikvidována
- demontáž stávající kabeláže ze zachovávané trasy v areálu Policie ČR v ZAZ VZA dle možností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1.5t
Elektroodpad: 3.5t
Kabely: 4t</t>
    </r>
  </si>
  <si>
    <r>
      <t xml:space="preserve">PK1
</t>
    </r>
    <r>
      <rPr>
        <sz val="10"/>
        <color theme="1"/>
        <rFont val="Segoe UI"/>
        <family val="2"/>
      </rPr>
      <t xml:space="preserve">Pozice: dle výkresu a popisu
Info: zachovány stávající trasy po akci PK Roztoky - rekonstrukce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dle popisu
Info: zachovány stávající trasy po akci PK Roztoky - rekonstrukce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 xml:space="preserve">Pozice: dle výkresu
Info: zachování stavající trasy (dílem budoucí objekt MVE Klecany II, dílem kabelový kanál pod asfaltem)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 zdvojené podlahy a stropy v operátorské místnosti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</si>
  <si>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 trasa v technologické šachtě a v jezové štole</t>
    </r>
    <r>
      <rPr>
        <u/>
        <sz val="10"/>
        <color theme="1"/>
        <rFont val="Segoe UI"/>
        <family val="2"/>
      </rPr>
      <t xml:space="preserve">
VEL VZA
</t>
    </r>
    <r>
      <rPr>
        <sz val="10"/>
        <color theme="1"/>
        <rFont val="Segoe UI"/>
        <family val="2"/>
      </rPr>
      <t>Pozice: dle popisu
Info: obnova vystrojení kabelového kanálu ve strojovně (bez obnovy poklopů)</t>
    </r>
  </si>
  <si>
    <r>
      <t xml:space="preserve">ZAZ PK1
</t>
    </r>
    <r>
      <rPr>
        <sz val="10"/>
        <color theme="1"/>
        <rFont val="Segoe UI"/>
        <family val="2"/>
      </rPr>
      <t>Pozice: dle výkresu
Info:
- propoj mezi velínem a zázemím - kanál ve svazích, s betonovým záklopem pod zásypem
- prostupy pod komunikacemi jsou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</si>
  <si>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výkresu
Info: Propojení mezi PK1 a VZA přes ostrov (2x napájecí kabel, 2x optický kabel ve vlastních chráničkách - viz 5.11.1)</t>
    </r>
  </si>
  <si>
    <r>
      <t xml:space="preserve">ZAZ PK1
</t>
    </r>
    <r>
      <rPr>
        <sz val="10"/>
        <color theme="1"/>
        <rFont val="Segoe UI"/>
        <family val="2"/>
      </rPr>
      <t>Pozice: dle výkresu
Info: nová trasa ke skladu mobilního hrazení</t>
    </r>
  </si>
  <si>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popisu
Info: budovy v zázemí PK1 (předpoklad 15m)</t>
    </r>
  </si>
  <si>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popisu
Info: budovy v zázemí VZA (předpoklad 50m)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</si>
  <si>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
Info: nová shybka po akci PK Roztoky - rekonstrukce</t>
    </r>
  </si>
  <si>
    <r>
      <t>ZAZ VZA</t>
    </r>
    <r>
      <rPr>
        <sz val="10"/>
        <color theme="1"/>
        <rFont val="Segoe UI"/>
        <family val="2"/>
      </rPr>
      <t xml:space="preserve">
Pozice: dle výkresu
Info: 
- prostup mezi kasematou VZA a navazující kabelovou trasou přes ostrov k PK1
- prostup střechou kasematy ke stožáru technologického osvětlení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</si>
  <si>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dle popisu
Info:
- operátorský pult
- obnova AC jednotek (aktuálně 1 venkovní a 1 vnitřní)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popisu
Info:
- operátorský pult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</si>
  <si>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1t
Elektroodpad: 0.1t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</si>
  <si>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11t
Elektroodpad: 0.6t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</si>
  <si>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
- 3 přívody
-  zachován přívodní kabel z DS
- propoj na VZA je zdvojen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zachován stávající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</si>
  <si>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operátorská místnost
Info: 3x pro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strojovna
Info: 1x pro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</si>
  <si>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bývalá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strojovna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</si>
  <si>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rozvodna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</si>
  <si>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- 3x PK1 levé plato
- 1x PK1 pravé plato střední ohlaví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6x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</si>
  <si>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místní hydraulický agregát PK1
- 1x centrální hydraulický agregát PK1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</si>
  <si>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bývalá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</si>
  <si>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není stacionární DG
- požadavek na zřízení přípojného místa mobilního DG na noze velínu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</si>
  <si>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součást PK Roztoky - rekonstrukce
</t>
    </r>
    <r>
      <rPr>
        <u/>
        <sz val="10"/>
        <color theme="1"/>
        <rFont val="Segoe UI"/>
        <family val="2"/>
      </rPr>
      <t xml:space="preserve">ZAZ PK1
</t>
    </r>
    <r>
      <rPr>
        <sz val="10"/>
        <color theme="1"/>
        <rFont val="Segoe UI"/>
        <family val="2"/>
      </rPr>
      <t>Pozice: dle pasportu, výkresu a Projektové dokumentace
Info: nový stožár a zdroj světla u skladu mobilního hrazení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</si>
  <si>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 a výkresu</t>
    </r>
    <r>
      <rPr>
        <u/>
        <sz val="10"/>
        <color theme="1"/>
        <rFont val="Segoe UI"/>
        <family val="2"/>
      </rPr>
      <t xml:space="preserve">
ZAZ 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</si>
  <si>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šachta u klapky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 xml:space="preserve">- operátorská místnost
- strojovna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strojovna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</si>
  <si>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- 2x VEL PK1
- 4x VZA
- 1x VEL VZA
- 2x ZAZ</t>
    </r>
  </si>
  <si>
    <r>
      <t xml:space="preserve">PK1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 
Info: 2x nová skřín na úrovni pilířů VZA v jezové štole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</si>
  <si>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
- PK1, SPOL PK1, VZA, SPOL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</si>
  <si>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
Info: VD je řešeno jako dvě samostatné části (PK1 a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</si>
  <si>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páteřní technologická síť je provedena optickým vedením
- VD je řešeno jako dvě samostatné části (PK1 a VZA) pro případ neexistence optického propoje - dvě technologické sitě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</si>
  <si>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 
- přizpůsobená technologickým celkům na VD (SCADA/HMI)
- VD je řešeno jako dvě samostatné části (PK1 a VZA) pro případ neexistence optického propoje</t>
    </r>
  </si>
  <si>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kancelář vedoucího VD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</si>
  <si>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</si>
  <si>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
- operátorská místnost
Info:
- součást operátorského pultu pro PK1
- na dveřích rozvaděče pro SPOL PK1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
- operátorská místnost
- rozvodna
Info:
- součást operátorského pultu pro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</si>
  <si>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- 2x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</si>
  <si>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Projektové dokumentace</t>
    </r>
    <r>
      <rPr>
        <u/>
        <sz val="10"/>
        <color theme="1"/>
        <rFont val="Segoe UI"/>
        <family val="2"/>
      </rPr>
      <t xml:space="preserve">
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</si>
  <si>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</t>
    </r>
    <r>
      <rPr>
        <u/>
        <sz val="10"/>
        <color theme="1"/>
        <rFont val="Segoe UI"/>
        <family val="2"/>
      </rPr>
      <t xml:space="preserve">
VZA</t>
    </r>
    <r>
      <rPr>
        <sz val="10"/>
        <color theme="1"/>
        <rFont val="Segoe UI"/>
        <family val="2"/>
      </rPr>
      <t xml:space="preserve">
Pozice:
- dle pasportu
- dolní hladina v budově limnigrafu - výměna senzoru, zachování stávajícího komunikačního kabelu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</si>
  <si>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
Info: bez dohledoměru pro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</si>
  <si>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ovládání kamerového systému je ze tří míst (Operátorská místnost ve velínu PK1, Operátorská místnost ve velínu VZA, kancelář vedoucího VD)
- nově zastřežení  SO PK1
- nově zastřežení skladu hrazení v ZAZ PK1
- nově zastřežení jezu z obou stran (velín VZA, stožár technologického osvětlení nad kasematou)
- z důvodu výstavby nové MVE Klecany II se předpokládá potřeba instalace dalších 3 zastřežovacích kamer v okolí velínu VZA
- zapojení  operační kamery u HO PK1 - horní rejda do systému
- zapojení 4 kamer z MVE II do dodávaného CCTV
- VD je řešeno jako dvě samostatné části (PK1+ZAZ PK1+VEL PK1 a VZA+ZAZ VZA+VEL VZA)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</si>
  <si>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dvě nezávislé mezi sebou komunikující ústředny (PK1, VZA)
- doplnění magentu na vstup do kasematy VZA
- doplnění pohybového senzoru a magnetu na vstup do dílny v ZAZ PK1.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</si>
  <si>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strojovna VEL PK1
- doplnění komunikačních hlásek na místní ovládací skříňky PK1 (4ks)
- nová komunikační hláska dílna ZAZ PK1
- nová komunikační hláska kasemata
- nová komunikační hláska pod dělící zdí v jezové štole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</si>
  <si>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PK1
- ústředna v bývalé kanceláři VD ZAZ VZA
Info: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</si>
  <si>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</si>
  <si>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
- zdroj v operátorské místnosti ve velínu
- vnitřní hodiny v operátorské místnosti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- vnitřní hodiny v kanceláři vedoucího VD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</si>
  <si>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požadavek na zdvojené kabelové (silové i komunikační - optika) spojení mezi VZA a PK1 přes ostrov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</si>
  <si>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 t
Elektroodpad: 2.5 t
Kabely: 3.5 t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</si>
  <si>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 xml:space="preserve">Pozice: dle výkresu a popisu
Info: zachovány stávající trasy po akci PK Dolánky - rekonstrukce
</t>
    </r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dle popisu
Info: zachovány stávající trasy po akci PK Dolánky - rekonstrukce</t>
    </r>
  </si>
  <si>
    <r>
      <t>VZA</t>
    </r>
    <r>
      <rPr>
        <sz val="10"/>
        <color theme="1"/>
        <rFont val="Segoe UI"/>
        <family val="2"/>
      </rPr>
      <t xml:space="preserve">
Pozice: dle výkresu
Info: trasa v technologické šachtě a jezové štole</t>
    </r>
    <r>
      <rPr>
        <u/>
        <sz val="10"/>
        <color theme="1"/>
        <rFont val="Segoe UI"/>
        <family val="2"/>
      </rPr>
      <t xml:space="preserve">
ZAZ VZA
</t>
    </r>
    <r>
      <rPr>
        <sz val="10"/>
        <color theme="1"/>
        <rFont val="Segoe UI"/>
        <family val="2"/>
      </rPr>
      <t xml:space="preserve">Pozice: dle výkresu
Info: trasa v kasematě a na schodišti do jezové štoly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dle popisu
Info:
- zdvojená podlaha v rozvodně typu obdobného dle přílohy; plocha 30 m2
- nové drátěné rošty v podhledu na chodbách mezi strojovnou a operátorskou místností /  kanceláří vedoucího VD (předpoklad 60m)
- vystrojení kabelového kanálu ve strojovně (bez obnovy poklopů (předpoklad 10m)</t>
    </r>
  </si>
  <si>
    <r>
      <t xml:space="preserve">ZAZ PK1
</t>
    </r>
    <r>
      <rPr>
        <sz val="10"/>
        <color theme="1"/>
        <rFont val="Segoe UI"/>
        <family val="2"/>
      </rPr>
      <t xml:space="preserve">Pozice: dle výkresu
Info: trasa VZA - PK1 přes ostrov
</t>
    </r>
    <r>
      <rPr>
        <u/>
        <sz val="10"/>
        <color theme="1"/>
        <rFont val="Segoe UI"/>
        <family val="2"/>
      </rPr>
      <t xml:space="preserve">ZAZ VZA
</t>
    </r>
    <r>
      <rPr>
        <sz val="10"/>
        <color theme="1"/>
        <rFont val="Segoe UI"/>
        <family val="2"/>
      </rPr>
      <t>Pozice: dle výkresu a popisu
Info:
- trasa mezi MVE a Budovou 1 (rozvodna)
--- část trasy je odkloněna od stávající trasy (viz výkres)
--- mezi zpevněnou plochou a larsenou - zde je betonový kanál dimenzován na pojezd osobními vozidly, zaklopení a obnova zámkové dlažby
--- v travnatém povrhu je trasa řešena standardně dle OTP
--- novou trasou je zajištěna i obnova stávajících silových napájecích kabelových spojení mezi MVE (rozvodna RH3) a rozvodnou v Budově 1 (předpoklad 2 silových napájecích kabelů - AYKY 4x240 v délce 80m v budově plus venkovní vedení - spočítat z nové trasy)
--- stávající vedení VN a veřejné telefonní přípojky je zachováno v původní trase</t>
    </r>
  </si>
  <si>
    <r>
      <t xml:space="preserve">ZAZ VZA
</t>
    </r>
    <r>
      <rPr>
        <sz val="10"/>
        <color theme="1"/>
        <rFont val="Segoe UI"/>
        <family val="2"/>
      </rPr>
      <t>Pozice: dle výkresu
Info: trasa po zdi z MVE na nátok</t>
    </r>
  </si>
  <si>
    <r>
      <t xml:space="preserve">ZAZ PK1
</t>
    </r>
    <r>
      <rPr>
        <sz val="10"/>
        <color theme="1"/>
        <rFont val="Segoe UI"/>
        <family val="2"/>
      </rPr>
      <t>Pozice: dle výkresu
Info: trasa DO PK1 - špička ostrova</t>
    </r>
  </si>
  <si>
    <r>
      <t xml:space="preserve">ZAZ PK1
</t>
    </r>
    <r>
      <rPr>
        <sz val="10"/>
        <color theme="1"/>
        <rFont val="Segoe UI"/>
        <family val="2"/>
      </rPr>
      <t>Pozice: dle výkresu
Info: propoj mezi DO a lampou VO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</si>
  <si>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výkresu a popisu
Info: zachovány stávající shybka po akci PK Dolánky - rekonstrukce</t>
    </r>
  </si>
  <si>
    <r>
      <t xml:space="preserve">ZAZ VZA
</t>
    </r>
    <r>
      <rPr>
        <sz val="10"/>
        <color theme="1"/>
        <rFont val="Segoe UI"/>
        <family val="2"/>
      </rPr>
      <t>Pozice: dle popisu
Info:
- prostup u vodotěsných vrat mezi kasematou a schodištěm do jezové štoly
- prostup pro spojení senzoru teploty vody na platu u kasematy</t>
    </r>
  </si>
  <si>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dle popisu
Info: v kabelových trasách překračujících hranice funkčního celku MVE, předpoklad 4ks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</si>
  <si>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 dle popisu
Info: 
- operátorský pult
- obnova AC jednotek (aktuálně 1 venkovní a 1 vnitřní) - stávající umístění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 operátorská místnost (v budově MVE)
Info: pouze obnova operátorského pultu</t>
    </r>
  </si>
  <si>
    <r>
      <t xml:space="preserve">VEL VZA
</t>
    </r>
    <r>
      <rPr>
        <sz val="10"/>
        <color theme="1"/>
        <rFont val="Segoe UI"/>
        <family val="2"/>
      </rPr>
      <t>Pozice: dle pasportu
Info:
- 5x hydraulický rozvaděč
- včetně filtrační jednotky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</si>
  <si>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7t
Elektroodpad: 0.6t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</si>
  <si>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
- 3 přívody
-  zachován přívodní kabel z DS a MVE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
- 2 přívody
-  zachován přívodní kabel z MVE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</si>
  <si>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Info: 3x pro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
Info: 1x pro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</si>
  <si>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</si>
  <si>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
- 3x PK1 levé plato
- 1x PK1 pravé plato střední ohlaví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5x VZA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</si>
  <si>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
- 4x místní hydraulický agregát PK1
- 1x centrální hydraulický agregát PK1
- 1x hydraulický servomotor poklopových vrat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
- 2x hydraulický agregát VZA (u každé pohonné jednotky)
- 2x čerpadla prosáklé vody
- 1x na technologickém rozvaděči VZA v rozvodně ve velínu VZA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</si>
  <si>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operátorská místnost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operátorská místnost
- rozvodna
Info: v operátorské místnosti velínu VZA (standardní rozvaděč  s montážním rámem pro RACK 19'')</t>
    </r>
  </si>
  <si>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Projektové dokumentace
Info:
- není stacionární DG
- požadavek na obnovu přípojného místa mobilního DG
</t>
    </r>
    <r>
      <rPr>
        <u/>
        <sz val="10"/>
        <color theme="1"/>
        <rFont val="Segoe UI"/>
        <family val="2"/>
      </rPr>
      <t xml:space="preserve">VEL VZA/MVE
</t>
    </r>
    <r>
      <rPr>
        <sz val="10"/>
        <color theme="1"/>
        <rFont val="Segoe UI"/>
        <family val="2"/>
      </rPr>
      <t>Pozice: dle Projektové dokumentace
Info: není požadavek na přípojné místa mobilního DG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</si>
  <si>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Info: součást PK Dolánky - rekonstrukce
</t>
    </r>
    <r>
      <rPr>
        <u/>
        <sz val="10"/>
        <color theme="1"/>
        <rFont val="Segoe UI"/>
        <family val="2"/>
      </rPr>
      <t>ZAZ PK1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</si>
  <si>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 xml:space="preserve">PK1
</t>
    </r>
    <r>
      <rPr>
        <sz val="10"/>
        <color theme="1"/>
        <rFont val="Segoe UI"/>
        <family val="2"/>
      </rPr>
      <t>Pozice: dle pasportu a výkresu</t>
    </r>
    <r>
      <rPr>
        <u/>
        <sz val="10"/>
        <color theme="1"/>
        <rFont val="Segoe UI"/>
        <family val="2"/>
      </rPr>
      <t xml:space="preserve">
ZAZ 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</si>
  <si>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šachta u klapky HO
</t>
    </r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 xml:space="preserve">Pozice:
- operátorská místnost
- strojovna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 včetně schodišťových šachet
</t>
    </r>
    <r>
      <rPr>
        <u/>
        <sz val="10"/>
        <color theme="1"/>
        <rFont val="Segoe UI"/>
        <family val="2"/>
      </rPr>
      <t>ZAZ VZA</t>
    </r>
    <r>
      <rPr>
        <sz val="10"/>
        <color theme="1"/>
        <rFont val="Segoe UI"/>
        <family val="2"/>
      </rPr>
      <t xml:space="preserve">
Pozice: kasemata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rozvodna
- strojovna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</si>
  <si>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- 5x VZA
- 1x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</si>
  <si>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jezová štola
Info: 2x nová skřín na úrovni pilířů VZA v jezové štole</t>
    </r>
  </si>
  <si>
    <r>
      <rPr>
        <u/>
        <sz val="10"/>
        <color theme="1"/>
        <rFont val="Segoe UI"/>
        <family val="2"/>
      </rPr>
      <t xml:space="preserve">VEL PK1
</t>
    </r>
    <r>
      <rPr>
        <sz val="10"/>
        <color theme="1"/>
        <rFont val="Segoe UI"/>
        <family val="2"/>
      </rPr>
      <t>Pozice: operátorská místnost</t>
    </r>
    <r>
      <rPr>
        <u/>
        <sz val="10"/>
        <color theme="1"/>
        <rFont val="Segoe UI"/>
        <family val="2"/>
      </rPr>
      <t xml:space="preserve">
VEL VZA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</si>
  <si>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 
- operátorská místnost
Info:
- součást operátorského pultu pro PK1
- na dveřích rozvaděče pro SPOL PK1
</t>
    </r>
    <r>
      <rPr>
        <u/>
        <sz val="10"/>
        <color theme="1"/>
        <rFont val="Segoe UI"/>
        <family val="2"/>
      </rPr>
      <t>VEL VZA</t>
    </r>
    <r>
      <rPr>
        <sz val="10"/>
        <color theme="1"/>
        <rFont val="Segoe UI"/>
        <family val="2"/>
      </rPr>
      <t xml:space="preserve">
Pozice:
- rozvodna
Info:
- na dveřích rozvaděče VZA
- na dveřích rozvaděče pro SPOL VZA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</si>
  <si>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Pozice:dle Projektové dokumentace
Info:
- 1x na MVE/VE - předpoklad vyvolané investice na straně MVE do 200 000,- Kč
- na datové centrum z každé části samostatně - VD je řešeno jako dvě samostatné části (PKx a VZA) pro případ neexistence optického propoje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</si>
  <si>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Pozice:dle Projektové dokumentace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</si>
  <si>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</si>
  <si>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ovládání kamerového systému je ze tří míst (Operátorská místnost ve velínu PK1, Operátorská místnost ve velínu VZA, kancelář vedoucího VD)
- nově zastřežení  SO PK1
- nově zastřežení prostoru nad klapkou HO po vodě i proti vodě
- nově zastřežení jezu z obou stran (velín VZA, stožár technologického osvětlení nad kasematou)
- změna operační kamery v ZAZ VZA na zatřežovací (vchod do MVE)
- nově operační kamera pro prostor dle výkresu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</si>
  <si>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</si>
  <si>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nová komunikační hláska strojovna VEL PK1
- doplnění komunikačních hlásek na místní ovládací skříňky PK1 (4ks)
- nová komunikační hláska strojovna VEL VZA
- nová komunikační hláska kasemata
- nová komunikační hláska dílna ZAZ VZA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</si>
  <si>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operátorské místnosti velínu PK1
- ústředna v operátorské místnosti velínu MVE
Info:
- VD je řešeno jako dvě samostatné části (PK1+ZAZ PK1+VEL PK1 a VZA+ZAZ VZA+VEL ZAZ) pro případ neexistence optického propoje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</si>
  <si>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venkovní hodiny dle pasportu
</t>
    </r>
    <r>
      <rPr>
        <u/>
        <sz val="10"/>
        <color theme="1"/>
        <rFont val="Segoe UI"/>
        <family val="2"/>
      </rPr>
      <t>VEL PK1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</t>
    </r>
    <r>
      <rPr>
        <u/>
        <sz val="10"/>
        <color theme="1"/>
        <rFont val="Segoe UI"/>
        <family val="2"/>
      </rPr>
      <t xml:space="preserve">VEL VZA
</t>
    </r>
    <r>
      <rPr>
        <sz val="10"/>
        <color theme="1"/>
        <rFont val="Segoe UI"/>
        <family val="2"/>
      </rPr>
      <t>Pozice:
- vnitřní hodiny v velínu VZA
- vnitřní hodiny v operátorské místnosti
- vnitřní hodiny v kanceláři vedoucího VD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</si>
  <si>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 t
Elektroodpad: 2 t
Kabely: 3 t</t>
    </r>
  </si>
  <si>
    <r>
      <t xml:space="preserve">PK1
</t>
    </r>
    <r>
      <rPr>
        <sz val="10"/>
        <color theme="1"/>
        <rFont val="Segoe UI"/>
        <family val="2"/>
      </rPr>
      <t xml:space="preserve">Pozice: dle výkresu
Info:
- stávající shybka u DO (viz 3.1.9)
- chránička k lampě na pravém platu od shybky DO
- trasa z HO na molo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 xml:space="preserve">Pozice: dle výkresu
Info:
- trasa přípojky z ER do stávajícího RP
- trasa od stávajícího RP na most
- trasa k dolnímu limnigrafu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pasportu
Info: zdvojené podlahy a stropy v operátorské místnosti a rozvodně (bez indikace délky)</t>
    </r>
  </si>
  <si>
    <r>
      <t>VZA</t>
    </r>
    <r>
      <rPr>
        <sz val="10"/>
        <color theme="1"/>
        <rFont val="Segoe UI"/>
        <family val="2"/>
      </rPr>
      <t xml:space="preserve">
Pozice: dle výkresu
Info:
- trasa na mostovce
--- sekce mostu nad PK1 bude zdvihací - předpoklad realizace 2026 - 2029
--- Počet přístupných tras na mostovce je v souladu s požadavky na sdružování kabelů a rezervy. Délka trasy je uváděna pro celek, nikoli pro jednotlivé plechové žlaby.
- instalace ve strojovnách v jezových věžích
- sestupné trasy VZA - PK1
- obnova vedení vzduchem z mostu do remízy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popisu
Info: vystrojení vertikálních kanálů po fasádě (4ks)</t>
    </r>
  </si>
  <si>
    <r>
      <t xml:space="preserve">PK1
</t>
    </r>
    <r>
      <rPr>
        <sz val="10"/>
        <color theme="1"/>
        <rFont val="Segoe UI"/>
        <family val="2"/>
      </rPr>
      <t>Pozice: dle výkresu
Info: pravé plato v celé trase vyjma prostoru SO</t>
    </r>
  </si>
  <si>
    <r>
      <t xml:space="preserve">PK1
</t>
    </r>
    <r>
      <rPr>
        <sz val="10"/>
        <color theme="1"/>
        <rFont val="Segoe UI"/>
        <family val="2"/>
      </rPr>
      <t>Pozice: dle výkresu a Projektové dokumentace
Info:
- prostor SO na pravém platu a trasa mezi SO a HO na levém platu
- nové trasy v prostoru SO jsou předmětem Projektové dokumentace</t>
    </r>
  </si>
  <si>
    <r>
      <t xml:space="preserve">ZAZ
</t>
    </r>
    <r>
      <rPr>
        <sz val="10"/>
        <color theme="1"/>
        <rFont val="Segoe UI"/>
        <family val="2"/>
      </rPr>
      <t>Pozice: dle výkresu
Info: kanál k lampě u brány u DG</t>
    </r>
  </si>
  <si>
    <r>
      <t xml:space="preserve">PK1
</t>
    </r>
    <r>
      <rPr>
        <sz val="10"/>
        <color theme="1"/>
        <rFont val="Segoe UI"/>
        <family val="2"/>
      </rPr>
      <t>Pozice: dle výkresu
Info:
- napojení lamp VO na levém platu mezi DO a SO
--- protahovací šachty u lamp
--- poklopy šachet na pojezd osobními automobily</t>
    </r>
  </si>
  <si>
    <r>
      <t xml:space="preserve">VZA
</t>
    </r>
    <r>
      <rPr>
        <sz val="10"/>
        <color theme="1"/>
        <rFont val="Segoe UI"/>
        <family val="2"/>
      </rPr>
      <t>Pozice: dle výkresu
Info: propojení mostu a ovládání vorové propusti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>Pozice: dle výkresu
Info: trasa k hornímu limnigrafu</t>
    </r>
  </si>
  <si>
    <r>
      <t xml:space="preserve">ZAZ
</t>
    </r>
    <r>
      <rPr>
        <sz val="10"/>
        <color theme="1"/>
        <rFont val="Segoe UI"/>
        <family val="2"/>
      </rPr>
      <t xml:space="preserve">Pozice: dle výkresu a Projektové dokumentace
Info:
- nové řešení kabelových tras dle Projektové dokumentace v prostoru mezi provozními budovami.
--- předpoklad 100m tras
</t>
    </r>
  </si>
  <si>
    <r>
      <t xml:space="preserve">ZAZ
</t>
    </r>
    <r>
      <rPr>
        <sz val="10"/>
        <color theme="1"/>
        <rFont val="Segoe UI"/>
        <family val="2"/>
      </rPr>
      <t>Pozice: dle popisu
Info: Budova 2, předpoklad 60m</t>
    </r>
  </si>
  <si>
    <r>
      <t xml:space="preserve">ZAZ
</t>
    </r>
    <r>
      <rPr>
        <sz val="10"/>
        <color theme="1"/>
        <rFont val="Segoe UI"/>
        <family val="2"/>
      </rPr>
      <t>Pozice: dle popisu
Info: Budova 1, předpoklad 70m, částečně lze využít stávající rozvody</t>
    </r>
  </si>
  <si>
    <r>
      <t xml:space="preserve">PK1
</t>
    </r>
    <r>
      <rPr>
        <sz val="10"/>
        <color theme="1"/>
        <rFont val="Segoe UI"/>
        <family val="2"/>
      </rPr>
      <t>Pozice: dle výkresu
Info:
- stávající shybka je zachována a je učiněn pokus o zprůchodnění (očerpání kalu z šachet, vyčištění prosupů pod PK1)
--- pro účely nabídky se předpokládá, že stávající shybka je zprůchodněna
--- vazba na 3.1.11</t>
    </r>
  </si>
  <si>
    <r>
      <t xml:space="preserve">PK1
</t>
    </r>
    <r>
      <rPr>
        <sz val="10"/>
        <color theme="1"/>
        <rFont val="Segoe UI"/>
        <family val="2"/>
      </rPr>
      <t>Pozice: dle výkresu
Info:
- nová shybka v případě, že se nepodaří zprůchodnit stávající shybku
--- práce pod podmíněnými obnosy</t>
    </r>
  </si>
  <si>
    <r>
      <t xml:space="preserve">PK1
</t>
    </r>
    <r>
      <rPr>
        <sz val="10"/>
        <color theme="1"/>
        <rFont val="Segoe UI"/>
        <family val="2"/>
      </rPr>
      <t xml:space="preserve">Pozice: dle pasportu
Info: 
- výška 50cm
- na HO na pozicích 1AG111 a 1AG121
- podstavce agregátů 1AG112 a 1AG122 jsou zlikvidovány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výška 50cm
- pro agregát 3AG1
- dimenze podstavce jsou přizpůsobeny / redukovány adekvátně dodávanému hydraulickému agregátu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</si>
  <si>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
- obnova klimatizace (aktuálně 2 vnitřní a 2 vnější jednotky)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</si>
  <si>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 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36t</t>
    </r>
  </si>
  <si>
    <r>
      <t xml:space="preserve">PK1
</t>
    </r>
    <r>
      <rPr>
        <sz val="10"/>
        <color theme="1"/>
        <rFont val="Segoe UI"/>
        <family val="2"/>
      </rPr>
      <t xml:space="preserve">Pozice: dle pasportu
Info:
- na HO na pozicích 1AG111 a 1AG121
- 1AG112 a 1AG122 jsou zlikvidovány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hydraulický agregát vychází typově z místního hydraulického agregátu PKx
- výkonové parametry a rozměry jsou redukovány úměrně dimenzím hydraulického servomotoru (DN100/63x1000)
- je požadována dodatečná funkce manuálního tlakování obou hydraulických okruhů</t>
    </r>
  </si>
  <si>
    <r>
      <t xml:space="preserve">PK1
</t>
    </r>
    <r>
      <rPr>
        <sz val="10"/>
        <color theme="1"/>
        <rFont val="Segoe UI"/>
        <family val="2"/>
      </rPr>
      <t>Pozice: dle pasportu</t>
    </r>
  </si>
  <si>
    <r>
      <t xml:space="preserve">PK1
</t>
    </r>
    <r>
      <rPr>
        <sz val="10"/>
        <color theme="1"/>
        <rFont val="Segoe UI"/>
        <family val="2"/>
      </rPr>
      <t>Pozice: dle pasportu
Info: HO a DO PK1</t>
    </r>
  </si>
  <si>
    <r>
      <t xml:space="preserve">PK1
</t>
    </r>
    <r>
      <rPr>
        <sz val="10"/>
        <color theme="1"/>
        <rFont val="Segoe UI"/>
        <family val="2"/>
      </rPr>
      <t xml:space="preserve">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</si>
  <si>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2t
Elektroodpad: 1.1t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</si>
  <si>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Info:
- 1 přívod
- přívodní napájecí kabel mezi zázemím a hlavním rozvaděčem v 1. jezové věži je zachován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</si>
  <si>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jezové věže
Info:
- 5x pro VZA
- 1x pro vorovou propust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rozvodna
Info: 3x pro PK1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</si>
  <si>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rozvodna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</si>
  <si>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1. jezová věž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</si>
  <si>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Info: 3x pro PK1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
- 4x pro VZA
- 1X pro vorovou propust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</si>
  <si>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Info: u místních hydraulických agregátů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Projektové dokumentace
Info:
- u pohonů hradících válců (JV1, 4, 5)
- u pohonů stavidel (JV2, 4)
- u místního hydraulického agregátu vorové propusti
Info: zachovat souběžné ovládání obou pohonů stavidla - ani v servisním režimu nelze spustit pohon stavidla pouze na jedné straně!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</si>
  <si>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Info: nutno řešit propoj optických kabelů v Budově 2 v šatně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</si>
  <si>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 připojovací místo pro mobilní DG je v blízkosti stacionárního DG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</si>
  <si>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 demontáž dvou lamp VO u velínu (viz výkres)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</si>
  <si>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 a výkresu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</si>
  <si>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jezové věže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přístřešek DG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</si>
  <si>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
Info:
- 6x PK1
- 6x VZA
- 1x ZAZ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</si>
  <si>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 Info: na pozici stávajících zásuvkových skříní Z2 a Z3 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</si>
  <si>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VZA, SPOL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</si>
  <si>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operátorská místnost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</si>
  <si>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 (Budova 1)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</si>
  <si>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operátorská místnost
- rozvodna
Info:
- součást operátorského pultu pro PK1
- součást operátorského pultu pro VZA
- na dveřích rozvaděče pro SPOL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</si>
  <si>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doplnění polohového snímače na polohu klapky nasazené na stavidlo Stoney</t>
    </r>
  </si>
  <si>
    <r>
      <rPr>
        <u/>
        <sz val="10"/>
        <color theme="1"/>
        <rFont val="Segoe UI"/>
        <family val="2"/>
      </rPr>
      <t>PK1</t>
    </r>
    <r>
      <rPr>
        <sz val="10"/>
        <color theme="1"/>
        <rFont val="Segoe UI"/>
        <family val="2"/>
      </rPr>
      <t xml:space="preserve">
Pozice: dle pasportu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nad jezemdle Projektové dokumentace
Info: doplněno měření hladiny vody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</si>
  <si>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přesun teploty vody ze stávající pozice na pozici měření hladiny nad jezem (molo)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</si>
  <si>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pasportu, výkresu a Projektové dokumentace
Info:
- kamery u stavoznaků v jezových věžích VZA jsou zrušeny
- nově zastřežení prostoru mostu (VZA)
- nově zastřežení branky ZAZ
- nově zastřežení dvoru ZAZ
- nově zastřežení pontonu v ZAZ
- nově operační kamera na vývaru jezu (všechna pole + vorová propust proti vodě)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</si>
  <si>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 doplnění kouřového senzoru do nového pokoje 2NP v Budově 1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</si>
  <si>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Projektové dokumentace
Info:
- u stání stacionárního DG
- lávka mola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</si>
  <si>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telefonní zařízení dle pasportu
- ústředna v datovém rozvaděči v operátorské místnosti
Info: je třeba řešit i telefonní zásuvku vč. koncového zařízení v MVE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</si>
  <si>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kancelář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 ve velínu
- venkovní hodiny podvěšené pod velínem
- vnitřní hodiny v operátorské místnosti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</si>
  <si>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přívodní napájecí kabel mezi zázemím a hlavním rozvaděčem v 1. jezové věži je zachován
- telefonní kabel z mostu až do velínu je zachován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</si>
  <si>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
- stávající systém SONICO je demontován  a zlikvidován
- dvě lampy VO u velínu jsou demontovány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Železo: 1.5t
Elektroodpad: 2.5t
Kabely: 3t</t>
    </r>
  </si>
  <si>
    <r>
      <t xml:space="preserve">VEL
</t>
    </r>
    <r>
      <rPr>
        <sz val="10"/>
        <color theme="1"/>
        <rFont val="Segoe UI"/>
        <family val="2"/>
      </rPr>
      <t xml:space="preserve">Pozice: dle pasportu
Info:
- zdvojené podlahy a stropy v operátorské místnosti (bez indikace délky)
</t>
    </r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
- trasa podél příjezdové cesty
- přípojka VD
- propoj na MVE
- propoj mezi velínem a provozními budovami
- areál provozních budov</t>
    </r>
  </si>
  <si>
    <r>
      <t xml:space="preserve">VZA
</t>
    </r>
    <r>
      <rPr>
        <sz val="10"/>
        <color theme="1"/>
        <rFont val="Segoe UI"/>
        <family val="2"/>
      </rPr>
      <t>Pozice: dle výkresu
Info:
- jezová štola
- technologická šachta z velínu
- schodiště z jezové štoly do vstupního objektu ("domečku") na dělící zdi 
- ocelová chránička s PKO instalovaná na dělící zdi mezi Vraňansko-hořínským plavebním kanálem a Vltavou</t>
    </r>
    <r>
      <rPr>
        <u/>
        <sz val="10"/>
        <color theme="1"/>
        <rFont val="Segoe UI"/>
        <family val="2"/>
      </rPr>
      <t xml:space="preserve">
VEL
</t>
    </r>
    <r>
      <rPr>
        <sz val="10"/>
        <color theme="1"/>
        <rFont val="Segoe UI"/>
        <family val="2"/>
      </rPr>
      <t>Pozice: dle výkresu
Info:
- obnova přístupných tras v kabelových kanálech ve strojovně (bez nových poklopů)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</si>
  <si>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 a popisu
Info: prostupy ze vstupního objektu ("domečku")</t>
    </r>
  </si>
  <si>
    <r>
      <rPr>
        <u/>
        <sz val="10"/>
        <color theme="1"/>
        <rFont val="Segoe UI"/>
        <family val="2"/>
      </rPr>
      <t>VEL:</t>
    </r>
    <r>
      <rPr>
        <sz val="10"/>
        <color theme="1"/>
        <rFont val="Segoe UI"/>
        <family val="2"/>
      </rPr>
      <t xml:space="preserve">
Pozice: operátorská místnost
Info:
- nový operátorský pult
- obnova klimatizace (1+1)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</si>
  <si>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</t>
    </r>
    <r>
      <rPr>
        <u/>
        <sz val="10"/>
        <color theme="1"/>
        <rFont val="Segoe UI"/>
        <family val="2"/>
      </rPr>
      <t xml:space="preserve">Vyzískané materiály
</t>
    </r>
    <r>
      <rPr>
        <sz val="10"/>
        <color theme="1"/>
        <rFont val="Segoe UI"/>
        <family val="2"/>
      </rPr>
      <t>Fe: 1t
Elektroodpad: 50kg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</si>
  <si>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pasportu
Info: 
- 5 hydraulických rozvaděčů
- včetně filtrační jednotky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</si>
  <si>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výkresu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</si>
  <si>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Vyzískané materiály:
Fe: 11t
Elektroodpad: 600kg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</si>
  <si>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
- 3 přívody
- přívodní kabely z MVE a DS zůstávají zachovány
- fakturační elektroměry zůstávají zachovány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</si>
  <si>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1x pro VZA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</si>
  <si>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</si>
  <si>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strojovna
Info: stávající rozvaděč DC1 je zachován beze změny, řeší se pouze kabelové návaznosti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</si>
  <si>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pasportu
Info: Každá jezová klapka má vlastní MOS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</si>
  <si>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
Info: 
- 1x u čerpadel prosáklé vody
- 1x na technologickém rozvaděči VZA v rozvodně ve velínu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</si>
  <si>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 xml:space="preserve">Pozice: Budova 3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2x ve velínu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</si>
  <si>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pasportu
Info: 
- pouze zdroje na příjezdové cestě
- bez výměny napájecího kabelu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</si>
  <si>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dle pasportu
Info: Výkonové reflektory jsou spínány s venkovním pochůzkovým osvětlením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</si>
  <si>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 xml:space="preserve">Pozice:
- operátorská místnost
- strojovna
</t>
    </r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
- schodišťové šachty do jezové štoly včetně vstupního objektu
- jezová štola
- jezové pilíře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</si>
  <si>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</si>
  <si>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 xml:space="preserve">VZA
</t>
    </r>
    <r>
      <rPr>
        <sz val="10"/>
        <color theme="1"/>
        <rFont val="Segoe UI"/>
        <family val="2"/>
      </rPr>
      <t>Pozice: jezová štola na úrovni pilířů č. 2 a 3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</si>
  <si>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VZA, SPOL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</si>
  <si>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kancelář vedoucího VD (Budova 1)</t>
    </r>
  </si>
  <si>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
- operátorská místnost
- strojovna
Info: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>- součást operátorského pultu pro VZA
- na dveřích rozvaděče pro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</si>
  <si>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Projektové dokumentace
Info: stávající fakturační elektroměry vč. USM jsou zachovány (2ks - MVE, distribuční síť)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</si>
  <si>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</si>
  <si>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
- dle pasportu
- měření hladiny nad jezemdle Projektové dokumentace
Info: doplněno měření hladiny vody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</si>
  <si>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senzor teploty vody je realizován na pozici s novým měřením hladiny nad jezem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</si>
  <si>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a výkresu
Info:
- nově zastřežení vjezdové brány (ZAZ)
- nově operační kamera s dohledem na protipovodňovou uzávěru (VZA) - uvažována na budově MVE
-nově kamera pro zastřežení jezu - pohled proti vodě (VZA) - uvažováno na budově MVE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</si>
  <si>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PZTS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</si>
  <si>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koncová telefoní zařízení dle pasportu
- ústředna v datovém rozvaděči v operátorské místnosti
Info: v prostorách provozních budov v zázemí je využita stávající strukturovaná kabeláž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</si>
  <si>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
- vnitřní hodiny v kanceláři vedoucího VD
</t>
    </r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zdroj v operátorské místnosti ve velínu
- vnitřní hodiny v operátorské místnosti
Info: venkovní hodiny nejsou vyžadovány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</si>
  <si>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
- napájecí kabely na kasematu (VZA) a povodňový uzávěr na vraňansko-hořínském plavebním kanále jsou zachovány stávající
- napájecí kabel osvětlení příjezdové cesty v ZAZ je zachován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</si>
  <si>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stávající systém SONICO je demontován a zlikvidován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0.5t
Elektroodpad: 1.5t
Kabely: 2t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</si>
  <si>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shybky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
- chránička na levém břehu dolní rejdy
- trasy v areálu provozních budov vyjma nově budovaného kanálu s betonovým poklopem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 zdvojené stropy v operátorské místnosti (bez indikace délky)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</si>
  <si>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 xml:space="preserve">Pozice: dle výkresu
Info: 
- obnova vystrojení chodby v mostu včetně odbočky do kabelového kanálu do rozvodny ve velínu
- obnova trasy na mostovce nad opěrnými vraty DO PK2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stoupací kanál (kabelová stoupačka) mezi rozvodnou a operátorskou místností ve velínu
Info: obnova vystrojení</t>
    </r>
  </si>
  <si>
    <r>
      <rPr>
        <u/>
        <sz val="10"/>
        <color theme="1"/>
        <rFont val="Segoe UI"/>
        <family val="2"/>
      </rPr>
      <t xml:space="preserve">ZAZ
</t>
    </r>
    <r>
      <rPr>
        <sz val="10"/>
        <color theme="1"/>
        <rFont val="Segoe UI"/>
        <family val="2"/>
      </rPr>
      <t>Pozice: dle výkresu
Info: 
- propojení šachty u 1AG11 a šachty "u lípy"
--- zatížení nákladní dopravou
--- obnova zámkové dlažby nad kanálem
--- přeložka stávající kabeláže do nového kanálu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</si>
  <si>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výkresu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</si>
  <si>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výkresu
Info:
- součástí dodávky jsou nové krycí plechy technologií (44 výklenků technologických zařízení, plocha 150 m</t>
    </r>
    <r>
      <rPr>
        <vertAlign val="superscript"/>
        <sz val="10"/>
        <color theme="1"/>
        <rFont val="Segoe UI"/>
        <family val="2"/>
      </rPr>
      <t>2</t>
    </r>
    <r>
      <rPr>
        <sz val="10"/>
        <color theme="1"/>
        <rFont val="Segoe UI"/>
        <family val="2"/>
      </rPr>
      <t>)
--- zámkový systém obnobný jako u kabelových kanálů
--- jsou zachovány průduchy v poklopech dle stávajícího stavu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</si>
  <si>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výkresu
Info: propojení chodby v mostu, kabelového kanálu u DO PK2 a přístupné trasy nad opěrnými vraty DO PK2</t>
    </r>
  </si>
  <si>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výkresu
Info: trasa na pravém břehu dolní rejdy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</si>
  <si>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vstupní šachta do shybky DO PK1 na dělící zdi
Info: pouze kontrola a zprovoznění odvodňovacího systému</t>
    </r>
  </si>
  <si>
    <r>
      <rPr>
        <u/>
        <sz val="10"/>
        <color theme="1"/>
        <rFont val="Segoe UI"/>
        <family val="2"/>
      </rPr>
      <t xml:space="preserve">PK2
</t>
    </r>
    <r>
      <rPr>
        <sz val="10"/>
        <color theme="1"/>
        <rFont val="Segoe UI"/>
        <family val="2"/>
      </rPr>
      <t xml:space="preserve">Pozice: dle pasportu
Info:
- nové standardní nosníkové podstavce pod měněné hydraulické agregáty na platech 2AG31 a 2AG32; výška 15cm
- nové modifikované podstavce pod dodávané hydraulické agregáty 2AG11 a 2AG12 ve zvětšených  výklencích pod platem (viz Demolice): kesony nejsou odklápěcí, ale zdvižné; podstavce výškou vyhovují hloubkám výklenků pod poklopy; podstavce umožňují upevnění kesonů pro případ zaplavení výklenku
</t>
    </r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- ve výklencích pod platy pro hydraulické agregáty 1AG12, 2AG11, 2AG12 je ověřena funkčnost stávajícího odvodňovacího systému a provedeno pročištění. V případě nefunkčnosti je zbudován nový odvodňovací systém. Pro účely nabídky se předpokládá, že stávající systém je funkční a stačí jej pouze pročistit
- do výklenků pro hydraulické agregáty 1AG12, 2AG11, 2AG12 je zhotovena montážní pata pro otočný ruční jeřáb pro zdvihání kesonů (viz specifikace níže)
- součástí dodávky je:
--- 1ks otočný ruční jeřáb (obdobného typu dle přílohy) pro zdvihání kesonových poklopů hydraulických agregátů 1AG12, 2AG11 a 2AG12; kesony jsou k tomuto účelu vybaveny odpovídajícím úchytným prvkem; nosnost jeřábku vyhovuje účelu (zdvihání kesonů); jeřáb je transportovatelný v areálu VD 1 osobou
--- 1ks manipulační jeřáb nosnosti 2t (obdobného typu dle přílohy) s gumovými kolečky pro příležitostné manipulace s břemeny v areálu VD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</si>
  <si>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napojení nově budovaného multikanálu na chodbu v mostu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</si>
  <si>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>Pozice: dle Projektové dokumentace + Info níže</t>
    </r>
    <r>
      <rPr>
        <u/>
        <sz val="10"/>
        <color theme="1"/>
        <rFont val="Segoe UI"/>
        <family val="2"/>
      </rPr>
      <t xml:space="preserve">
</t>
    </r>
    <r>
      <rPr>
        <sz val="10"/>
        <color theme="1"/>
        <rFont val="Segoe UI"/>
        <family val="2"/>
      </rPr>
      <t xml:space="preserve">Info:
- výklenky pro agregáty 2AG11 a 2AG12 na PK2 jsou zvětšeny o 30cm délky a 20cm šířky
- součástí zvětšení jsou veškeré demoliční práce, začištění povrchů a stabilizace hran výklenků a příprava rámů pro nové poklopy.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Fe: 30t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</si>
  <si>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nové pro PK2
- u stávajících hydraulických agregátů PK1 je provedena renovace systému napojení kabeláže a hydraulických rozvodů na standardní konektory / hydraulické rychlospojky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</si>
  <si>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</si>
  <si>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HO a DO PK2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</si>
  <si>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 a Projektové dokumentace
Info: u nových i zachovávaných hydraulických agregátů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</si>
  <si>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
Info: 
- kompletní rozvody k bublinkovacím zařízením na HO a DO PK2
- rozvod mezi dmychadlem a bublinkovacím zařízením HO PK1
- rozvody jsou vedeny v souběhu s elektrickými kabely kabelovými kanály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</si>
  <si>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 jeden demontovaný kompresor je ponechán na VD a předán vedoucímu VD
</t>
    </r>
    <r>
      <rPr>
        <u/>
        <sz val="10"/>
        <color theme="1"/>
        <rFont val="Segoe UI"/>
        <family val="2"/>
      </rPr>
      <t>Vyzískané materiály:</t>
    </r>
    <r>
      <rPr>
        <sz val="10"/>
        <color theme="1"/>
        <rFont val="Segoe UI"/>
        <family val="2"/>
      </rPr>
      <t xml:space="preserve">
Fe: 2t
Elektroodpad: 0.5t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</si>
  <si>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
- 2 přívody
- přívodní kabel z DS zůstává zachován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</si>
  <si>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rozvodna
Info: 
- 2x pro PK1
- 2x pro PK2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</si>
  <si>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- 2x pro PK1
- 2x pro PK2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</si>
  <si>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
Info: 
- 4x pro PK1
- 4x pro PK2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</si>
  <si>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operátorská místnost
 Info: jsou využívány stávající datové rozvaděče v rozvodně ve velínu a v kanceláři vedoucího VD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</si>
  <si>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lampa venkovního osvětlení na parkovišti u provozní budovy je začleněna do okruhu osvětlení PKx
</t>
    </r>
    <r>
      <rPr>
        <u/>
        <sz val="10"/>
        <color theme="1"/>
        <rFont val="Segoe UI"/>
        <family val="2"/>
      </rPr>
      <t>ZAZ</t>
    </r>
    <r>
      <rPr>
        <sz val="10"/>
        <color theme="1"/>
        <rFont val="Segoe UI"/>
        <family val="2"/>
      </rPr>
      <t xml:space="preserve">
Pozice: dle pasportu
Info: pouze lampy na dolních dalbách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</si>
  <si>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 a výkresu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</si>
  <si>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
- rozvodna ve velínu
- kabelová chodba v mostu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</si>
  <si>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na dělící zdi u dolního ohlaví vedle ZS4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</si>
  <si>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PK1, PK2, SPOL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</si>
  <si>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operátorská místnost
Info:
- je zachován stávající operátorský pult
- nově dodávané zařízení je instalována na tento pult v části pro PKx
- požadavek na zachování umístění přepínačů režimů a tlačítek nouzového vypnutí na datovém rozvaděči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</si>
  <si>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
- operátorská místnost
- rozvodna
Info: 
- na datovém rozvaděči v operátorské místnosti ve velínu pro PK1 a PK2
- na dveřích rozvaděče pro SPOL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</si>
  <si>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na datové centrum</t>
    </r>
  </si>
  <si>
    <r>
      <rPr>
        <u/>
        <sz val="10"/>
        <color theme="1"/>
        <rFont val="Segoe UI"/>
        <family val="2"/>
      </rPr>
      <t>VEL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</si>
  <si>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Projektové dokumentace</t>
    </r>
  </si>
  <si>
    <r>
      <rPr>
        <u/>
        <sz val="10"/>
        <color theme="1"/>
        <rFont val="Segoe UI"/>
        <family val="2"/>
      </rPr>
      <t xml:space="preserve">PKx
</t>
    </r>
    <r>
      <rPr>
        <sz val="10"/>
        <color theme="1"/>
        <rFont val="Segoe UI"/>
        <family val="2"/>
      </rPr>
      <t>Pozice: dle pasportu a výkresu
Info: hladina vody pod komorami je preferenčně pod budovou velínu na povodní zdi. V případě, že nebude možné z důvodu památkové ochrany tuto pozici realizovat, alternativní umístění je v dolní rejdě na konci zdi na levém břehu (viz výkres)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</si>
  <si>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Projektové dokumentace
Info: senzor teploty vody je realizován na pozici hladiny vody nad PKx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</si>
  <si>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kamerový systém</t>
    </r>
  </si>
  <si>
    <r>
      <rPr>
        <u/>
        <sz val="10"/>
        <color theme="1"/>
        <rFont val="Segoe UI"/>
        <family val="2"/>
      </rPr>
      <t>PKx</t>
    </r>
    <r>
      <rPr>
        <sz val="10"/>
        <color theme="1"/>
        <rFont val="Segoe UI"/>
        <family val="2"/>
      </rPr>
      <t xml:space="preserve">
Pozice: dle pasportu
Info: 
- řeší se pouze na DO PK2
- ostatní zůstávají zachovány stávající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</si>
  <si>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Info: je zachován stávající systém INOMA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</si>
  <si>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operátorská místnost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</si>
  <si>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
- zdroj v operátorské místnosti ve velínu
- venkovní hodiny na dělící zdi
- vnitřní hodiny v operátorské místnosti ve velínu a v kanceláři vedoucího VD
Info: venkovní hodiny reflekují památkovou ochranu VD - požadavek na "historický" vzhled</t>
    </r>
  </si>
  <si>
    <r>
      <rPr>
        <u/>
        <sz val="10"/>
        <color theme="1"/>
        <rFont val="Segoe UI"/>
        <family val="2"/>
      </rPr>
      <t>VDI</t>
    </r>
    <r>
      <rPr>
        <sz val="10"/>
        <color theme="1"/>
        <rFont val="Segoe UI"/>
        <family val="2"/>
      </rPr>
      <t xml:space="preserve">
Pozice: dle Pasportu kabelů a Projektové dokumentace
Info: u kabelových spojení souvisejících s plavební komorou PK1 je preferováno využití stávajících kabelových spojení instalovaných v rámci akce </t>
    </r>
    <r>
      <rPr>
        <i/>
        <sz val="10"/>
        <color theme="1"/>
        <rFont val="Segoe UI"/>
        <family val="2"/>
      </rPr>
      <t>Úprava ohlaví PK Hořín</t>
    </r>
    <r>
      <rPr>
        <sz val="10"/>
        <color theme="1"/>
        <rFont val="Segoe UI"/>
        <family val="2"/>
      </rPr>
      <t xml:space="preserve">. Případný zásah nebo doplnění na úrovni PK1 je odsouhlasen Správcem stavby. </t>
    </r>
  </si>
  <si>
    <r>
      <rPr>
        <u/>
        <sz val="10"/>
        <color theme="1"/>
        <rFont val="Segoe UI"/>
        <family val="2"/>
      </rPr>
      <t xml:space="preserve">VDI
</t>
    </r>
    <r>
      <rPr>
        <sz val="10"/>
        <color theme="1"/>
        <rFont val="Segoe UI"/>
        <family val="2"/>
      </rPr>
      <t xml:space="preserve">Pozice: dle Projektové dokumentace
Info:
- dva demontované LED zdroje z lamp VO na mostu jsou ponechány na VD a předány vedoucímu VD
- demontované hladinové sondy jsou ponechány na VD a předány vedoucímu VD
</t>
    </r>
    <r>
      <rPr>
        <u/>
        <sz val="10"/>
        <color theme="1"/>
        <rFont val="Segoe UI"/>
        <family val="2"/>
      </rPr>
      <t>Vyzískané materiály</t>
    </r>
    <r>
      <rPr>
        <sz val="10"/>
        <color theme="1"/>
        <rFont val="Segoe UI"/>
        <family val="2"/>
      </rPr>
      <t xml:space="preserve">
Železo: 1t
Elektroodpad: 2t
Kabely: 1t</t>
    </r>
  </si>
  <si>
    <r>
      <t xml:space="preserve">GEN
</t>
    </r>
    <r>
      <rPr>
        <sz val="10"/>
        <color theme="1"/>
        <rFont val="Segoe UI"/>
        <family val="2"/>
      </rPr>
      <t>Pozice: dle Projektové dokumentace
Info: dle OTP</t>
    </r>
  </si>
  <si>
    <r>
      <t xml:space="preserve">GEN
</t>
    </r>
    <r>
      <rPr>
        <sz val="10"/>
        <color theme="1"/>
        <rFont val="Segoe UI"/>
        <family val="2"/>
      </rPr>
      <t>Pozice: dle diskuse s Objednatelem
Info: dle OTP</t>
    </r>
  </si>
  <si>
    <r>
      <t xml:space="preserve">GEN
</t>
    </r>
    <r>
      <rPr>
        <sz val="10"/>
        <color theme="1"/>
        <rFont val="Segoe UI"/>
        <family val="2"/>
      </rPr>
      <t>Pozice: Povodí Vltavy, státní podnik, Holečkova 8, Praha
Info: dle OTP</t>
    </r>
  </si>
  <si>
    <r>
      <t xml:space="preserve">GEN
</t>
    </r>
    <r>
      <rPr>
        <sz val="10"/>
        <color theme="1"/>
        <rFont val="Segoe UI"/>
        <family val="2"/>
      </rPr>
      <t>Pozice: Povodí Vltavy, státní podnik, Grafická, Praha
Info: dle OTP</t>
    </r>
  </si>
  <si>
    <r>
      <t xml:space="preserve">PK1
Pozice: dle výkresu
Info:
- multikánály na platech PK1
- trasa do zázemí
</t>
    </r>
    <r>
      <rPr>
        <u/>
        <sz val="10"/>
        <color theme="1"/>
        <rFont val="Segoe UI"/>
        <family val="2"/>
      </rPr>
      <t>VZA</t>
    </r>
    <r>
      <rPr>
        <sz val="10"/>
        <color theme="1"/>
        <rFont val="Segoe UI"/>
        <family val="2"/>
      </rPr>
      <t xml:space="preserve">
Pozice: dle výkresu
Info: kabelová lávka pod mostovkou (strojovna)</t>
    </r>
    <r>
      <rPr>
        <u/>
        <sz val="10"/>
        <color theme="1"/>
        <rFont val="Segoe UI"/>
        <family val="2"/>
      </rPr>
      <t xml:space="preserve">
ZAZ
</t>
    </r>
    <r>
      <rPr>
        <sz val="10"/>
        <color theme="1"/>
        <rFont val="Segoe UI"/>
        <family val="2"/>
      </rPr>
      <t xml:space="preserve">Pozice: dle výkresu
Info:
- trasa k jeřábu (zázemí jih) - bez výměny kabeláže
- trasa do zázemí - sever (mezi zázemí - střed a potokem)
</t>
    </r>
    <r>
      <rPr>
        <u/>
        <sz val="10"/>
        <color theme="1"/>
        <rFont val="Segoe UI"/>
        <family val="2"/>
      </rPr>
      <t xml:space="preserve">VEL
</t>
    </r>
    <r>
      <rPr>
        <sz val="10"/>
        <color theme="1"/>
        <rFont val="Segoe UI"/>
        <family val="2"/>
      </rPr>
      <t>Pozice: dle popisu
Info:
- kabelová lávka pod mostovkou (velín)
- trasy pod sádrokartonovými podhledy velínu (bez indikace délky)</t>
    </r>
  </si>
  <si>
    <t>VZA
Pozice: dle výkresu
Info: vertikální kabelové kanály v krajních pilířích mostu včetně plechových záklopů</t>
  </si>
  <si>
    <t>Z3DM</t>
  </si>
  <si>
    <t>Obecná rizika</t>
  </si>
  <si>
    <t>SPOL (INCL Z3DM)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</si>
</sst>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#,##0.000"/>
    <numFmt numFmtId="167" formatCode="0%&quot; IN&quot;"/>
    <numFmt numFmtId="168" formatCode="0.0%&quot; IN&quot;"/>
    <numFmt numFmtId="169" formatCode="0.0%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Marlett"/>
      <charset val="2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Segoe UI"/>
      <family val="2"/>
    </font>
    <font>
      <u/>
      <sz val="10"/>
      <color theme="1"/>
      <name val="Segoe UI"/>
      <family val="2"/>
    </font>
    <font>
      <b/>
      <sz val="10"/>
      <color theme="1"/>
      <name val="Segoe UI"/>
      <family val="2"/>
    </font>
    <font>
      <vertAlign val="superscript"/>
      <sz val="10"/>
      <color theme="1"/>
      <name val="Segoe UI"/>
      <family val="2"/>
    </font>
    <font>
      <sz val="10"/>
      <color rgb="FF000000"/>
      <name val="Segoe UI"/>
      <family val="2"/>
    </font>
    <font>
      <i/>
      <sz val="10"/>
      <color theme="1"/>
      <name val="Segoe UI"/>
      <family val="2"/>
    </font>
    <font>
      <sz val="10"/>
      <name val="Segoe UI"/>
      <family val="2"/>
    </font>
    <font>
      <b/>
      <sz val="10"/>
      <color indexed="8"/>
      <name val="Segoe UI"/>
      <family val="2"/>
    </font>
    <font>
      <sz val="10"/>
      <color theme="0" tint="-0.499984740745262"/>
      <name val="Segoe UI"/>
      <family val="2"/>
    </font>
    <font>
      <b/>
      <sz val="10"/>
      <name val="Segoe UI"/>
      <family val="2"/>
    </font>
    <font>
      <u/>
      <sz val="10"/>
      <color rgb="FF000000"/>
      <name val="Segoe UI"/>
      <family val="2"/>
    </font>
    <font>
      <u/>
      <sz val="1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E2EFDA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69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2" xfId="0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0" fontId="0" fillId="4" borderId="2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4" borderId="3" xfId="0" applyFill="1" applyBorder="1" applyAlignment="1">
      <alignment vertical="center"/>
    </xf>
    <xf numFmtId="49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49" fontId="0" fillId="0" borderId="3" xfId="0" applyNumberFormat="1" applyBorder="1" applyAlignment="1">
      <alignment horizontal="left" vertic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9" fillId="0" borderId="0" xfId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4" borderId="5" xfId="0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0" fillId="5" borderId="0" xfId="0" applyFill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0" xfId="0" quotePrefix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0" xfId="0" quotePrefix="1" applyFont="1" applyAlignment="1">
      <alignment vertical="center"/>
    </xf>
    <xf numFmtId="0" fontId="13" fillId="0" borderId="0" xfId="0" quotePrefix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2" xfId="0" quotePrefix="1" applyFont="1" applyBorder="1" applyAlignment="1">
      <alignment vertical="center" wrapText="1"/>
    </xf>
    <xf numFmtId="0" fontId="9" fillId="0" borderId="0" xfId="1" applyAlignment="1">
      <alignment vertical="center"/>
    </xf>
    <xf numFmtId="0" fontId="13" fillId="0" borderId="3" xfId="0" quotePrefix="1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6" fillId="0" borderId="2" xfId="0" quotePrefix="1" applyFont="1" applyFill="1" applyBorder="1" applyAlignment="1">
      <alignment vertical="center"/>
    </xf>
    <xf numFmtId="0" fontId="15" fillId="0" borderId="1" xfId="0" quotePrefix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5" fillId="4" borderId="5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165" fontId="15" fillId="0" borderId="0" xfId="0" applyNumberFormat="1" applyFont="1" applyAlignment="1">
      <alignment horizontal="right" vertical="center"/>
    </xf>
    <xf numFmtId="0" fontId="15" fillId="4" borderId="0" xfId="0" applyFont="1" applyFill="1" applyAlignment="1">
      <alignment vertical="center"/>
    </xf>
    <xf numFmtId="49" fontId="15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6" fillId="0" borderId="0" xfId="0" applyFont="1" applyAlignment="1">
      <alignment vertical="top"/>
    </xf>
    <xf numFmtId="0" fontId="15" fillId="4" borderId="2" xfId="0" applyFont="1" applyFill="1" applyBorder="1" applyAlignment="1">
      <alignment vertical="center"/>
    </xf>
    <xf numFmtId="49" fontId="15" fillId="0" borderId="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7" fillId="0" borderId="2" xfId="0" applyFont="1" applyBorder="1" applyAlignment="1">
      <alignment horizontal="right" vertical="center"/>
    </xf>
    <xf numFmtId="165" fontId="15" fillId="0" borderId="2" xfId="0" applyNumberFormat="1" applyFont="1" applyBorder="1" applyAlignment="1">
      <alignment vertical="center"/>
    </xf>
    <xf numFmtId="0" fontId="15" fillId="4" borderId="3" xfId="0" applyFont="1" applyFill="1" applyBorder="1" applyAlignment="1">
      <alignment vertical="center"/>
    </xf>
    <xf numFmtId="49" fontId="15" fillId="0" borderId="3" xfId="0" applyNumberFormat="1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165" fontId="15" fillId="0" borderId="3" xfId="0" applyNumberFormat="1" applyFont="1" applyBorder="1" applyAlignment="1">
      <alignment vertical="center"/>
    </xf>
    <xf numFmtId="0" fontId="19" fillId="0" borderId="2" xfId="0" applyFont="1" applyBorder="1" applyAlignment="1">
      <alignment horizontal="left" vertical="center"/>
    </xf>
    <xf numFmtId="0" fontId="20" fillId="0" borderId="2" xfId="0" applyFont="1" applyBorder="1" applyAlignment="1">
      <alignment vertical="center"/>
    </xf>
    <xf numFmtId="0" fontId="15" fillId="4" borderId="1" xfId="0" applyFont="1" applyFill="1" applyBorder="1" applyAlignment="1">
      <alignment vertical="center"/>
    </xf>
    <xf numFmtId="49" fontId="15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165" fontId="15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right" vertical="center"/>
    </xf>
    <xf numFmtId="0" fontId="15" fillId="0" borderId="0" xfId="0" quotePrefix="1" applyFont="1" applyAlignment="1">
      <alignment vertical="center"/>
    </xf>
    <xf numFmtId="0" fontId="17" fillId="4" borderId="6" xfId="0" applyFont="1" applyFill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5" fillId="2" borderId="3" xfId="0" applyFont="1" applyFill="1" applyBorder="1" applyAlignment="1">
      <alignment vertical="center"/>
    </xf>
    <xf numFmtId="0" fontId="16" fillId="0" borderId="3" xfId="0" applyFont="1" applyBorder="1" applyAlignment="1">
      <alignment vertical="top"/>
    </xf>
    <xf numFmtId="3" fontId="15" fillId="0" borderId="3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3" fontId="15" fillId="0" borderId="3" xfId="0" applyNumberFormat="1" applyFont="1" applyBorder="1" applyAlignment="1">
      <alignment vertical="center"/>
    </xf>
    <xf numFmtId="0" fontId="15" fillId="2" borderId="0" xfId="0" applyFont="1" applyFill="1" applyAlignment="1">
      <alignment vertical="center"/>
    </xf>
    <xf numFmtId="3" fontId="15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horizontal="right" vertical="center"/>
    </xf>
    <xf numFmtId="3" fontId="15" fillId="0" borderId="0" xfId="0" applyNumberFormat="1" applyFont="1" applyAlignment="1">
      <alignment vertical="center"/>
    </xf>
    <xf numFmtId="0" fontId="15" fillId="2" borderId="2" xfId="0" applyFont="1" applyFill="1" applyBorder="1" applyAlignment="1">
      <alignment vertical="center"/>
    </xf>
    <xf numFmtId="3" fontId="17" fillId="0" borderId="2" xfId="0" applyNumberFormat="1" applyFont="1" applyBorder="1" applyAlignment="1">
      <alignment horizontal="right" vertical="center"/>
    </xf>
    <xf numFmtId="3" fontId="15" fillId="0" borderId="2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3" fontId="15" fillId="0" borderId="1" xfId="0" applyNumberFormat="1" applyFont="1" applyBorder="1" applyAlignment="1">
      <alignment horizontal="right" vertical="center"/>
    </xf>
    <xf numFmtId="3" fontId="15" fillId="0" borderId="1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left" vertical="center"/>
    </xf>
    <xf numFmtId="0" fontId="17" fillId="0" borderId="3" xfId="0" applyFont="1" applyBorder="1" applyAlignment="1">
      <alignment horizontal="right" vertical="center"/>
    </xf>
    <xf numFmtId="0" fontId="17" fillId="2" borderId="6" xfId="0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15" fillId="0" borderId="3" xfId="0" quotePrefix="1" applyFont="1" applyBorder="1" applyAlignment="1">
      <alignment vertical="center" wrapText="1"/>
    </xf>
    <xf numFmtId="0" fontId="21" fillId="3" borderId="2" xfId="0" applyFont="1" applyFill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5" fillId="0" borderId="3" xfId="0" quotePrefix="1" applyFont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49" fontId="21" fillId="0" borderId="2" xfId="0" applyNumberFormat="1" applyFont="1" applyBorder="1" applyAlignment="1">
      <alignment horizontal="left" vertical="center"/>
    </xf>
    <xf numFmtId="0" fontId="20" fillId="0" borderId="2" xfId="0" quotePrefix="1" applyFont="1" applyBorder="1" applyAlignment="1">
      <alignment vertical="center"/>
    </xf>
    <xf numFmtId="0" fontId="21" fillId="0" borderId="3" xfId="0" applyFont="1" applyBorder="1" applyAlignment="1">
      <alignment horizontal="left" vertical="center"/>
    </xf>
    <xf numFmtId="49" fontId="15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15" fillId="0" borderId="2" xfId="0" quotePrefix="1" applyFont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15" fillId="0" borderId="1" xfId="0" quotePrefix="1" applyFont="1" applyBorder="1" applyAlignment="1">
      <alignment vertical="center"/>
    </xf>
    <xf numFmtId="49" fontId="15" fillId="0" borderId="1" xfId="0" applyNumberFormat="1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/>
    </xf>
    <xf numFmtId="0" fontId="17" fillId="3" borderId="6" xfId="0" applyFont="1" applyFill="1" applyBorder="1" applyAlignment="1">
      <alignment vertical="center"/>
    </xf>
    <xf numFmtId="0" fontId="17" fillId="0" borderId="7" xfId="0" quotePrefix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quotePrefix="1" applyFont="1" applyAlignment="1">
      <alignment vertical="center"/>
    </xf>
    <xf numFmtId="0" fontId="17" fillId="9" borderId="7" xfId="0" applyFont="1" applyFill="1" applyBorder="1" applyAlignment="1">
      <alignment vertical="center"/>
    </xf>
    <xf numFmtId="169" fontId="15" fillId="0" borderId="0" xfId="3" applyNumberFormat="1" applyFont="1" applyAlignment="1">
      <alignment vertical="center"/>
    </xf>
    <xf numFmtId="165" fontId="17" fillId="0" borderId="8" xfId="0" applyNumberFormat="1" applyFont="1" applyBorder="1" applyAlignment="1">
      <alignment vertical="center"/>
    </xf>
    <xf numFmtId="165" fontId="17" fillId="0" borderId="0" xfId="0" applyNumberFormat="1" applyFont="1" applyAlignment="1">
      <alignment vertical="center"/>
    </xf>
    <xf numFmtId="0" fontId="15" fillId="8" borderId="1" xfId="0" applyFont="1" applyFill="1" applyBorder="1" applyAlignment="1">
      <alignment vertical="center"/>
    </xf>
    <xf numFmtId="0" fontId="15" fillId="8" borderId="3" xfId="0" applyFont="1" applyFill="1" applyBorder="1" applyAlignment="1">
      <alignment vertical="center"/>
    </xf>
    <xf numFmtId="0" fontId="15" fillId="0" borderId="3" xfId="0" quotePrefix="1" applyFont="1" applyFill="1" applyBorder="1" applyAlignment="1">
      <alignment vertical="center"/>
    </xf>
    <xf numFmtId="0" fontId="17" fillId="8" borderId="6" xfId="0" applyFont="1" applyFill="1" applyBorder="1" applyAlignment="1">
      <alignment vertical="center"/>
    </xf>
    <xf numFmtId="165" fontId="22" fillId="10" borderId="8" xfId="0" applyNumberFormat="1" applyFont="1" applyFill="1" applyBorder="1" applyAlignment="1">
      <alignment vertical="center"/>
    </xf>
    <xf numFmtId="0" fontId="17" fillId="9" borderId="6" xfId="0" applyFont="1" applyFill="1" applyBorder="1" applyAlignment="1">
      <alignment vertical="center"/>
    </xf>
    <xf numFmtId="0" fontId="17" fillId="9" borderId="7" xfId="0" applyFont="1" applyFill="1" applyBorder="1" applyAlignment="1">
      <alignment horizontal="left" vertical="center"/>
    </xf>
    <xf numFmtId="0" fontId="17" fillId="9" borderId="7" xfId="0" applyFont="1" applyFill="1" applyBorder="1" applyAlignment="1">
      <alignment horizontal="center" vertical="center"/>
    </xf>
    <xf numFmtId="0" fontId="17" fillId="9" borderId="7" xfId="0" quotePrefix="1" applyFont="1" applyFill="1" applyBorder="1" applyAlignment="1">
      <alignment vertical="center"/>
    </xf>
    <xf numFmtId="9" fontId="17" fillId="9" borderId="8" xfId="3" applyFont="1" applyFill="1" applyBorder="1" applyAlignment="1">
      <alignment vertical="center"/>
    </xf>
    <xf numFmtId="0" fontId="17" fillId="0" borderId="0" xfId="0" applyFont="1"/>
    <xf numFmtId="0" fontId="15" fillId="0" borderId="0" xfId="0" applyFont="1"/>
    <xf numFmtId="0" fontId="15" fillId="0" borderId="18" xfId="0" applyFont="1" applyBorder="1" applyAlignment="1">
      <alignment vertical="center"/>
    </xf>
    <xf numFmtId="0" fontId="15" fillId="11" borderId="0" xfId="0" applyFont="1" applyFill="1" applyAlignment="1">
      <alignment vertical="center"/>
    </xf>
    <xf numFmtId="0" fontId="23" fillId="11" borderId="19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23" fillId="2" borderId="19" xfId="0" applyFont="1" applyFill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0" fontId="23" fillId="3" borderId="19" xfId="0" applyFont="1" applyFill="1" applyBorder="1" applyAlignment="1">
      <alignment vertical="center"/>
    </xf>
    <xf numFmtId="0" fontId="15" fillId="8" borderId="21" xfId="0" applyFont="1" applyFill="1" applyBorder="1" applyAlignment="1">
      <alignment vertical="center"/>
    </xf>
    <xf numFmtId="0" fontId="15" fillId="8" borderId="22" xfId="0" applyFont="1" applyFill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21" fillId="0" borderId="0" xfId="0" applyFont="1"/>
    <xf numFmtId="0" fontId="15" fillId="0" borderId="12" xfId="0" applyFont="1" applyBorder="1"/>
    <xf numFmtId="3" fontId="15" fillId="0" borderId="12" xfId="0" applyNumberFormat="1" applyFont="1" applyBorder="1"/>
    <xf numFmtId="3" fontId="23" fillId="0" borderId="13" xfId="0" applyNumberFormat="1" applyFont="1" applyBorder="1"/>
    <xf numFmtId="3" fontId="15" fillId="0" borderId="0" xfId="0" applyNumberFormat="1" applyFont="1"/>
    <xf numFmtId="3" fontId="15" fillId="0" borderId="16" xfId="0" applyNumberFormat="1" applyFont="1" applyBorder="1"/>
    <xf numFmtId="0" fontId="24" fillId="9" borderId="0" xfId="0" applyFont="1" applyFill="1"/>
    <xf numFmtId="167" fontId="24" fillId="9" borderId="0" xfId="3" applyNumberFormat="1" applyFont="1" applyFill="1" applyBorder="1" applyAlignment="1">
      <alignment vertical="center"/>
    </xf>
    <xf numFmtId="3" fontId="24" fillId="11" borderId="0" xfId="0" applyNumberFormat="1" applyFont="1" applyFill="1" applyAlignment="1">
      <alignment vertical="center"/>
    </xf>
    <xf numFmtId="168" fontId="24" fillId="11" borderId="0" xfId="3" applyNumberFormat="1" applyFont="1" applyFill="1" applyBorder="1" applyAlignment="1">
      <alignment vertical="center"/>
    </xf>
    <xf numFmtId="0" fontId="24" fillId="2" borderId="0" xfId="0" applyFont="1" applyFill="1"/>
    <xf numFmtId="168" fontId="24" fillId="2" borderId="0" xfId="3" applyNumberFormat="1" applyFont="1" applyFill="1"/>
    <xf numFmtId="0" fontId="24" fillId="3" borderId="0" xfId="0" applyFont="1" applyFill="1"/>
    <xf numFmtId="168" fontId="24" fillId="3" borderId="0" xfId="3" applyNumberFormat="1" applyFont="1" applyFill="1"/>
    <xf numFmtId="0" fontId="15" fillId="0" borderId="14" xfId="0" applyFont="1" applyBorder="1"/>
    <xf numFmtId="3" fontId="15" fillId="0" borderId="14" xfId="0" applyNumberFormat="1" applyFont="1" applyBorder="1"/>
    <xf numFmtId="3" fontId="23" fillId="0" borderId="15" xfId="0" applyNumberFormat="1" applyFont="1" applyBorder="1"/>
    <xf numFmtId="3" fontId="15" fillId="0" borderId="2" xfId="0" applyNumberFormat="1" applyFont="1" applyBorder="1"/>
    <xf numFmtId="3" fontId="15" fillId="0" borderId="17" xfId="0" applyNumberFormat="1" applyFont="1" applyBorder="1"/>
    <xf numFmtId="0" fontId="15" fillId="0" borderId="18" xfId="0" applyFont="1" applyBorder="1"/>
    <xf numFmtId="3" fontId="15" fillId="0" borderId="18" xfId="0" applyNumberFormat="1" applyFont="1" applyBorder="1"/>
    <xf numFmtId="3" fontId="23" fillId="0" borderId="19" xfId="0" applyNumberFormat="1" applyFont="1" applyBorder="1"/>
    <xf numFmtId="3" fontId="15" fillId="0" borderId="21" xfId="0" applyNumberFormat="1" applyFont="1" applyBorder="1"/>
    <xf numFmtId="3" fontId="23" fillId="0" borderId="22" xfId="0" applyNumberFormat="1" applyFont="1" applyBorder="1"/>
    <xf numFmtId="3" fontId="15" fillId="0" borderId="1" xfId="0" applyNumberFormat="1" applyFont="1" applyBorder="1"/>
    <xf numFmtId="3" fontId="15" fillId="0" borderId="11" xfId="0" applyNumberFormat="1" applyFont="1" applyBorder="1"/>
    <xf numFmtId="3" fontId="15" fillId="11" borderId="18" xfId="0" applyNumberFormat="1" applyFont="1" applyFill="1" applyBorder="1" applyAlignment="1">
      <alignment vertical="center"/>
    </xf>
    <xf numFmtId="3" fontId="23" fillId="11" borderId="19" xfId="0" applyNumberFormat="1" applyFont="1" applyFill="1" applyBorder="1" applyAlignment="1">
      <alignment vertical="center"/>
    </xf>
    <xf numFmtId="3" fontId="15" fillId="2" borderId="18" xfId="0" applyNumberFormat="1" applyFont="1" applyFill="1" applyBorder="1" applyAlignment="1">
      <alignment vertical="center"/>
    </xf>
    <xf numFmtId="3" fontId="23" fillId="2" borderId="19" xfId="0" applyNumberFormat="1" applyFont="1" applyFill="1" applyBorder="1" applyAlignment="1">
      <alignment vertical="center"/>
    </xf>
    <xf numFmtId="3" fontId="15" fillId="3" borderId="18" xfId="0" applyNumberFormat="1" applyFont="1" applyFill="1" applyBorder="1" applyAlignment="1">
      <alignment vertical="center"/>
    </xf>
    <xf numFmtId="3" fontId="23" fillId="3" borderId="19" xfId="0" applyNumberFormat="1" applyFont="1" applyFill="1" applyBorder="1" applyAlignment="1">
      <alignment vertical="center"/>
    </xf>
    <xf numFmtId="3" fontId="15" fillId="8" borderId="14" xfId="0" applyNumberFormat="1" applyFont="1" applyFill="1" applyBorder="1" applyAlignment="1">
      <alignment vertical="center"/>
    </xf>
    <xf numFmtId="3" fontId="23" fillId="8" borderId="15" xfId="0" applyNumberFormat="1" applyFont="1" applyFill="1" applyBorder="1" applyAlignment="1">
      <alignment vertical="center"/>
    </xf>
    <xf numFmtId="9" fontId="15" fillId="0" borderId="0" xfId="3" applyFont="1"/>
    <xf numFmtId="165" fontId="15" fillId="0" borderId="0" xfId="0" applyNumberFormat="1" applyFont="1" applyAlignment="1">
      <alignment horizontal="center" vertical="center"/>
    </xf>
    <xf numFmtId="0" fontId="19" fillId="0" borderId="2" xfId="0" quotePrefix="1" applyFont="1" applyBorder="1" applyAlignment="1">
      <alignment horizontal="left" vertical="center"/>
    </xf>
    <xf numFmtId="0" fontId="15" fillId="6" borderId="0" xfId="0" applyFont="1" applyFill="1" applyAlignment="1">
      <alignment horizontal="center" vertical="center"/>
    </xf>
    <xf numFmtId="0" fontId="16" fillId="0" borderId="1" xfId="0" applyFont="1" applyBorder="1" applyAlignment="1">
      <alignment vertical="top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66" fontId="15" fillId="0" borderId="0" xfId="0" applyNumberFormat="1" applyFont="1" applyAlignment="1">
      <alignment vertical="center"/>
    </xf>
    <xf numFmtId="0" fontId="16" fillId="0" borderId="2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5" fillId="6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15" fillId="0" borderId="0" xfId="0" quotePrefix="1" applyFont="1" applyFill="1" applyAlignment="1">
      <alignment vertical="center"/>
    </xf>
    <xf numFmtId="0" fontId="20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/>
    </xf>
    <xf numFmtId="164" fontId="15" fillId="0" borderId="0" xfId="2" applyNumberFormat="1" applyFont="1" applyFill="1" applyAlignment="1">
      <alignment vertical="center"/>
    </xf>
    <xf numFmtId="164" fontId="15" fillId="0" borderId="0" xfId="2" applyNumberFormat="1" applyFont="1" applyAlignment="1">
      <alignment vertical="center"/>
    </xf>
    <xf numFmtId="0" fontId="16" fillId="0" borderId="1" xfId="0" applyFont="1" applyFill="1" applyBorder="1" applyAlignment="1">
      <alignment vertical="center"/>
    </xf>
    <xf numFmtId="0" fontId="15" fillId="0" borderId="2" xfId="0" quotePrefix="1" applyFont="1" applyFill="1" applyBorder="1" applyAlignment="1">
      <alignment vertical="center"/>
    </xf>
    <xf numFmtId="1" fontId="15" fillId="0" borderId="0" xfId="0" applyNumberFormat="1" applyFont="1" applyAlignment="1">
      <alignment vertical="center"/>
    </xf>
    <xf numFmtId="0" fontId="19" fillId="0" borderId="2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2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20" fillId="0" borderId="2" xfId="0" quotePrefix="1" applyFont="1" applyFill="1" applyBorder="1" applyAlignment="1">
      <alignment vertical="center"/>
    </xf>
    <xf numFmtId="165" fontId="15" fillId="0" borderId="9" xfId="0" applyNumberFormat="1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3" fontId="15" fillId="0" borderId="0" xfId="2" applyNumberFormat="1" applyFont="1" applyFill="1" applyAlignment="1">
      <alignment vertical="center"/>
    </xf>
    <xf numFmtId="3" fontId="15" fillId="0" borderId="0" xfId="2" applyNumberFormat="1" applyFont="1" applyAlignment="1">
      <alignment vertical="center"/>
    </xf>
    <xf numFmtId="0" fontId="16" fillId="0" borderId="2" xfId="0" applyFont="1" applyBorder="1" applyAlignment="1">
      <alignment vertical="center"/>
    </xf>
    <xf numFmtId="0" fontId="15" fillId="7" borderId="2" xfId="0" applyFont="1" applyFill="1" applyBorder="1" applyAlignment="1">
      <alignment horizontal="right" vertical="center"/>
    </xf>
    <xf numFmtId="0" fontId="15" fillId="7" borderId="3" xfId="0" applyFont="1" applyFill="1" applyBorder="1" applyAlignment="1">
      <alignment horizontal="right" vertical="center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vertical="center"/>
    </xf>
    <xf numFmtId="0" fontId="15" fillId="3" borderId="4" xfId="0" applyFont="1" applyFill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quotePrefix="1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3" borderId="7" xfId="0" applyFont="1" applyFill="1" applyBorder="1" applyAlignment="1">
      <alignment vertical="center"/>
    </xf>
    <xf numFmtId="169" fontId="15" fillId="0" borderId="0" xfId="0" applyNumberFormat="1" applyFont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vertical="center"/>
    </xf>
    <xf numFmtId="0" fontId="15" fillId="0" borderId="3" xfId="0" applyFont="1" applyBorder="1"/>
    <xf numFmtId="0" fontId="15" fillId="0" borderId="10" xfId="0" applyFont="1" applyBorder="1"/>
    <xf numFmtId="169" fontId="15" fillId="0" borderId="0" xfId="3" applyNumberFormat="1" applyFont="1" applyFill="1" applyAlignment="1">
      <alignment vertical="center"/>
    </xf>
    <xf numFmtId="0" fontId="15" fillId="8" borderId="0" xfId="0" applyFont="1" applyFill="1" applyAlignment="1">
      <alignment vertical="center"/>
    </xf>
    <xf numFmtId="165" fontId="17" fillId="10" borderId="8" xfId="0" applyNumberFormat="1" applyFont="1" applyFill="1" applyBorder="1" applyAlignment="1">
      <alignment vertical="center"/>
    </xf>
    <xf numFmtId="165" fontId="17" fillId="0" borderId="7" xfId="0" applyNumberFormat="1" applyFont="1" applyBorder="1" applyAlignment="1">
      <alignment vertical="center"/>
    </xf>
    <xf numFmtId="0" fontId="15" fillId="0" borderId="0" xfId="0" quotePrefix="1" applyFont="1"/>
    <xf numFmtId="14" fontId="15" fillId="0" borderId="0" xfId="0" quotePrefix="1" applyNumberFormat="1" applyFont="1" applyFill="1"/>
    <xf numFmtId="0" fontId="15" fillId="0" borderId="0" xfId="0" applyFont="1" applyFill="1"/>
    <xf numFmtId="169" fontId="15" fillId="0" borderId="4" xfId="3" applyNumberFormat="1" applyFont="1" applyFill="1" applyBorder="1" applyAlignment="1">
      <alignment vertical="center"/>
    </xf>
    <xf numFmtId="165" fontId="15" fillId="0" borderId="4" xfId="0" applyNumberFormat="1" applyFont="1" applyBorder="1" applyAlignment="1">
      <alignment vertical="center"/>
    </xf>
    <xf numFmtId="0" fontId="17" fillId="10" borderId="6" xfId="0" applyFont="1" applyFill="1" applyBorder="1" applyAlignment="1">
      <alignment vertical="center"/>
    </xf>
    <xf numFmtId="0" fontId="17" fillId="10" borderId="7" xfId="0" applyFont="1" applyFill="1" applyBorder="1" applyAlignment="1">
      <alignment vertical="center"/>
    </xf>
    <xf numFmtId="165" fontId="15" fillId="10" borderId="7" xfId="0" applyNumberFormat="1" applyFont="1" applyFill="1" applyBorder="1" applyAlignment="1">
      <alignment vertical="center"/>
    </xf>
    <xf numFmtId="0" fontId="17" fillId="9" borderId="6" xfId="0" quotePrefix="1" applyFont="1" applyFill="1" applyBorder="1" applyAlignment="1">
      <alignment vertical="center"/>
    </xf>
    <xf numFmtId="9" fontId="17" fillId="9" borderId="7" xfId="3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10" borderId="6" xfId="0" applyFont="1" applyFill="1" applyBorder="1" applyAlignment="1">
      <alignment horizontal="center" vertical="center"/>
    </xf>
    <xf numFmtId="0" fontId="17" fillId="10" borderId="7" xfId="0" applyFont="1" applyFill="1" applyBorder="1" applyAlignment="1">
      <alignment horizontal="center" vertical="center"/>
    </xf>
    <xf numFmtId="0" fontId="17" fillId="10" borderId="7" xfId="0" quotePrefix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432">
    <dxf>
      <fill>
        <patternFill>
          <bgColor rgb="FFFFD1D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D1D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D1D1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D1D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color theme="0" tint="-0.34998626667073579"/>
      </font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5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5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fill>
        <patternFill patternType="solid">
          <fgColor indexed="64"/>
          <bgColor rgb="FFE2EFDA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499984740745262"/>
        <name val="Segoe UI"/>
        <family val="2"/>
        <scheme val="none"/>
      </font>
      <numFmt numFmtId="3" formatCode="#,##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" formatCode="#,##0"/>
      <fill>
        <patternFill patternType="solid">
          <fgColor indexed="64"/>
          <bgColor rgb="FFE2EFDA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numFmt numFmtId="3" formatCode="#,##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Segoe UI"/>
        <family val="2"/>
        <scheme val="none"/>
      </font>
      <alignment horizontal="general" vertical="center" textRotation="0" indent="0" justifyLastLine="0" shrinkToFit="0" readingOrder="0"/>
    </dxf>
  </dxfs>
  <tableStyles count="0" defaultTableStyle="TableStyleMedium2" defaultPivotStyle="PivotStyleLight16"/>
  <colors>
    <mruColors>
      <color rgb="FFC7A1E3"/>
      <color rgb="FFFFD1D1"/>
      <color rgb="FFE2EFDA"/>
      <color rgb="FFFF6600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348988</xdr:colOff>
      <xdr:row>76</xdr:row>
      <xdr:rowOff>94680</xdr:rowOff>
    </xdr:from>
    <xdr:to>
      <xdr:col>6</xdr:col>
      <xdr:colOff>349348</xdr:colOff>
      <xdr:row>76</xdr:row>
      <xdr:rowOff>95040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14:cNvPr>
            <xdr14:cNvContentPartPr/>
          </xdr14:nvContentPartPr>
          <xdr14:nvPr macro=""/>
          <xdr14:xfrm>
            <a:off x="10969363" y="26086024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960723" y="26077384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348988</xdr:colOff>
      <xdr:row>76</xdr:row>
      <xdr:rowOff>94680</xdr:rowOff>
    </xdr:from>
    <xdr:to>
      <xdr:col>6</xdr:col>
      <xdr:colOff>349348</xdr:colOff>
      <xdr:row>76</xdr:row>
      <xdr:rowOff>95040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01305397-E6DC-4C50-9ACC-7D60E573502F}"/>
                </a:ext>
              </a:extLst>
            </xdr14:cNvPr>
            <xdr14:cNvContentPartPr/>
          </xdr14:nvContentPartPr>
          <xdr14:nvPr macro=""/>
          <xdr14:xfrm>
            <a:off x="10969363" y="26086024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9E69683C-5590-8469-5ABF-FA8B83E62D5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0960723" y="26077384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2-01T12:05:15.64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12051,'0'0'-80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2-22T13:33:57.9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 12051,'0'0'-80</inkml:trace>
</inkml:ink>
</file>

<file path=xl/persons/person.xml><?xml version="1.0" encoding="utf-8"?>
<personList xmlns="http://schemas.microsoft.com/office/spreadsheetml/2018/threadedcomments" xmlns:x="http://schemas.openxmlformats.org/spreadsheetml/2006/main">
  <person displayName="Čejka, Filip" id="{F49588FC-DD52-45A6-885D-4BE4F2D72613}" userId="S::filip.cejka@sweco.cz::dc621cef-8e41-4782-8f5a-faecac201c7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AF0279-E7DF-4FD1-A7B2-7BC6B0C10D6A}" name="Table6" displayName="Table6" ref="A3:L16" totalsRowCount="1" headerRowDxfId="431" dataDxfId="429" totalsRowDxfId="428" headerRowBorderDxfId="430" totalsRowBorderDxfId="427">
  <autoFilter ref="A3:L15" xr:uid="{FDAF0279-E7DF-4FD1-A7B2-7BC6B0C10D6A}"/>
  <tableColumns count="12">
    <tableColumn id="1" xr3:uid="{D0A573C8-DAD2-4934-B54E-9AAB427BC506}" name="VD" totalsRowLabel="Total" dataDxfId="426" totalsRowDxfId="425"/>
    <tableColumn id="11" xr3:uid="{195487B3-3EF4-4AF5-9736-45E33FBB56A6}" name="Název VD" dataDxfId="424" totalsRowDxfId="423"/>
    <tableColumn id="2" xr3:uid="{CF57741A-5978-4755-AED1-8394734A4059}" name="STA (INCL. PD)" totalsRowFunction="sum" dataDxfId="422" totalsRowDxfId="421"/>
    <tableColumn id="8" xr3:uid="{BD984B19-A909-4747-B9ED-929DAB54E111}" name="PD_STA" totalsRowFunction="sum" dataDxfId="420" totalsRowDxfId="419"/>
    <tableColumn id="3" xr3:uid="{981F9152-1A9E-4A5B-B399-51798D56E0D5}" name="STR (INCL PD)" totalsRowFunction="sum" dataDxfId="418" totalsRowDxfId="417"/>
    <tableColumn id="9" xr3:uid="{6A1889AD-366D-4CFE-9662-4695EE3C4A91}" name="PD_STR" totalsRowFunction="sum" dataDxfId="416" totalsRowDxfId="415"/>
    <tableColumn id="4" xr3:uid="{1B4FB900-9593-4708-B7E5-787A4D46A078}" name="ELE (INCL PD)" totalsRowFunction="sum" dataDxfId="414" totalsRowDxfId="413"/>
    <tableColumn id="10" xr3:uid="{1E103C88-71F5-4391-9508-E1156B0B9EE3}" name="PD_ELE" totalsRowFunction="sum" dataDxfId="412" totalsRowDxfId="411"/>
    <tableColumn id="5" xr3:uid="{4D613E62-3D59-4BB6-8B75-40B0ADFCCC92}" name="SPOL (INCL Z3DM)" totalsRowFunction="sum" dataDxfId="410" totalsRowDxfId="409"/>
    <tableColumn id="12" xr3:uid="{E8F61104-F38C-4129-AA20-4B7AD9E26A16}" name="Z3DM" totalsRowFunction="sum" dataDxfId="408" totalsRowDxfId="407"/>
    <tableColumn id="6" xr3:uid="{3F67A8A3-7A0E-42AD-BC0D-FB71897479A5}" name="TOTAL" totalsRowFunction="sum" dataDxfId="406" totalsRowDxfId="405"/>
    <tableColumn id="7" xr3:uid="{BC5FD267-F5B2-45ED-A0C0-23C166E8F6D8}" name="TOTAL (incl. risk)" totalsRowFunction="sum" dataDxfId="404" totalsRowDxfId="40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4006CF7-E548-4769-AD52-E7AC89198442}" name="Table7" displayName="Table7" ref="O3:P7" totalsRowShown="0" headerRowDxfId="402" dataDxfId="401">
  <autoFilter ref="O3:P7" xr:uid="{44006CF7-E548-4769-AD52-E7AC89198442}"/>
  <tableColumns count="2">
    <tableColumn id="1" xr3:uid="{9B67C292-E416-45E2-A1FD-A75480A4CEFA}" name="Položka" dataDxfId="400"/>
    <tableColumn id="2" xr3:uid="{38EFD5A5-5B25-4C58-8F77-BB69D6315385}" name="Hodnota" dataDxfId="399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" dT="2023-11-27T11:30:26.56" personId="{F49588FC-DD52-45A6-885D-4BE4F2D72613}" id="{775D55EE-6E97-4F0B-B5D5-67F07DD65491}">
    <text>Cena za realizaci bez projektové přípravy</text>
  </threadedComment>
  <threadedComment ref="L28" dT="2023-11-27T11:19:36.55" personId="{F49588FC-DD52-45A6-885D-4BE4F2D72613}" id="{D15B416C-5811-422E-827F-A8CF05AD6753}">
    <text>Běžný metr trubního rozvodu (délka trasy x 2</text>
  </threadedComment>
  <threadedComment ref="L29" dT="2023-11-27T11:19:41.14" personId="{F49588FC-DD52-45A6-885D-4BE4F2D72613}" id="{DBECAA5D-2702-4BBC-92BB-1E58E08C79C4}">
    <text>Běžný metr trubního rozvodu (délka trasy x 2</text>
  </threadedComment>
  <threadedComment ref="L30" dT="2023-11-27T11:19:45.37" personId="{F49588FC-DD52-45A6-885D-4BE4F2D72613}" id="{BE926B47-78F6-424C-9237-1D2971A9F7FD}">
    <text>Běžný metr trubního rozvodu (délka trasy x 2</text>
  </threadedComment>
  <threadedComment ref="L31" dT="2023-11-27T11:20:02.14" personId="{F49588FC-DD52-45A6-885D-4BE4F2D72613}" id="{BBF1AF8C-5B3A-4D82-A1EE-C119544FA84B}">
    <text>Běžný metr trubního rozvodu (= délka trasy)</text>
  </threadedComment>
  <threadedComment ref="K58" dT="2023-11-27T13:04:53.77" personId="{F49588FC-DD52-45A6-885D-4BE4F2D72613}" id="{1413DD96-0858-4CBD-9E78-30B568796FA5}">
    <text>Nenaceňujeme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1" dT="2023-11-27T11:30:26.56" personId="{F49588FC-DD52-45A6-885D-4BE4F2D72613}" id="{66EBEE29-129A-44D9-A429-34DD11AD6CA4}">
    <text>Cena za realizaci bez projektové přípravy</text>
  </threadedComment>
  <threadedComment ref="G28" dT="2023-11-27T11:19:36.55" personId="{F49588FC-DD52-45A6-885D-4BE4F2D72613}" id="{FF79F5D0-25B8-4145-B519-732EC7AC65FE}">
    <text>Běžný metr trubního rozvodu (délka trasy x 2</text>
  </threadedComment>
  <threadedComment ref="G29" dT="2023-11-27T11:19:41.14" personId="{F49588FC-DD52-45A6-885D-4BE4F2D72613}" id="{5EEDEF50-4F62-404F-A345-B456B4FD091F}">
    <text>Běžný metr trubního rozvodu (délka trasy x 2</text>
  </threadedComment>
  <threadedComment ref="G30" dT="2023-11-27T11:19:45.37" personId="{F49588FC-DD52-45A6-885D-4BE4F2D72613}" id="{03B38571-C5EB-4141-AA7A-DBBF8038A16B}">
    <text>Běžný metr trubního rozvodu (délka trasy x 2</text>
  </threadedComment>
  <threadedComment ref="G31" dT="2023-11-27T11:20:02.14" personId="{F49588FC-DD52-45A6-885D-4BE4F2D72613}" id="{C3783828-F791-45F2-8E1E-3649DA785189}">
    <text>Běžný metr trubního rozvodu (= délka trasy)</text>
  </threadedComment>
  <threadedComment ref="F59" dT="2023-11-27T13:04:53.77" personId="{F49588FC-DD52-45A6-885D-4BE4F2D72613}" id="{D29F4B7D-9EB8-44B9-84CB-5D029CD13295}">
    <text>Nenaceňujeme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N1" dT="2023-11-27T11:30:26.56" personId="{F49588FC-DD52-45A6-885D-4BE4F2D72613}" id="{DA553046-5F53-4286-8897-8E447273B235}">
    <text>Cena za realizaci bez projektové přípravy</text>
  </threadedComment>
  <threadedComment ref="G31" dT="2023-11-27T11:19:36.55" personId="{F49588FC-DD52-45A6-885D-4BE4F2D72613}" id="{C6C16EE5-54BD-49F7-9B0C-2B9AE257D268}">
    <text>Běžný metr trubního rozvodu (délka trasy x 2</text>
  </threadedComment>
  <threadedComment ref="G32" dT="2023-11-27T11:19:41.14" personId="{F49588FC-DD52-45A6-885D-4BE4F2D72613}" id="{120B650A-F7BE-4368-BF1D-EB839DB58960}">
    <text>Běžný metr trubního rozvodu (délka trasy x 2</text>
  </threadedComment>
  <threadedComment ref="G33" dT="2023-11-27T11:19:45.37" personId="{F49588FC-DD52-45A6-885D-4BE4F2D72613}" id="{CBB7181E-E0A1-4362-BE5F-382DB478A146}">
    <text>Běžný metr trubního rozvodu (délka trasy x 2</text>
  </threadedComment>
  <threadedComment ref="G34" dT="2023-11-27T11:20:02.14" personId="{F49588FC-DD52-45A6-885D-4BE4F2D72613}" id="{AE66C3BB-951C-45D1-BB7F-FDCA20CFBD61}">
    <text>Běžný metr trubního rozvodu (= délka trasy)</text>
  </threadedComment>
  <threadedComment ref="F62" dT="2023-11-27T13:04:53.77" personId="{F49588FC-DD52-45A6-885D-4BE4F2D72613}" id="{F3645F5C-B4F2-4FF0-A841-2A3E417B3F31}">
    <text>Nenaceňujeme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R1" dT="2023-11-27T11:30:26.56" personId="{F49588FC-DD52-45A6-885D-4BE4F2D72613}" id="{A3625D9B-84FD-4A84-A931-4EEBEDC2B5ED}">
    <text>Cena za realizaci bez projektové přípravy</text>
  </threadedComment>
  <threadedComment ref="K26" dT="2023-11-27T11:19:36.55" personId="{F49588FC-DD52-45A6-885D-4BE4F2D72613}" id="{BF288ACC-D5B1-4F8E-B1D9-09BD64D6424B}">
    <text>Běžný metr trubního rozvodu (délka trasy x 2</text>
  </threadedComment>
  <threadedComment ref="K27" dT="2023-11-27T11:19:41.14" personId="{F49588FC-DD52-45A6-885D-4BE4F2D72613}" id="{1BF99D32-6E2A-47FA-B6FA-94E69BDA1577}">
    <text>Běžný metr trubního rozvodu (délka trasy x 2</text>
  </threadedComment>
  <threadedComment ref="K28" dT="2023-11-27T11:19:45.37" personId="{F49588FC-DD52-45A6-885D-4BE4F2D72613}" id="{B88CB58C-81CE-4AEA-8C68-B4ED33B15813}">
    <text>Běžný metr trubního rozvodu (délka trasy x 2</text>
  </threadedComment>
  <threadedComment ref="K29" dT="2023-11-27T11:20:02.14" personId="{F49588FC-DD52-45A6-885D-4BE4F2D72613}" id="{D3E24F7E-91B7-4DA7-B63E-4BBAB2A8814D}">
    <text>Běžný metr trubního rozvodu (= délka trasy)</text>
  </threadedComment>
  <threadedComment ref="J47" dT="2023-11-27T13:04:53.77" personId="{F49588FC-DD52-45A6-885D-4BE4F2D72613}" id="{8C38E4B1-AB22-4BD7-B15D-0F44587B0932}">
    <text>Nenaceňujeme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2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../../../C_Technick&#225;%20&#269;&#225;st%20Po&#382;adavk&#367;%20objednatele/02_pracovn&#237;/04_STP/P&#345;&#237;lohy/IMG_9008.JPG" TargetMode="External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8EBBF-F695-4BF5-943C-EB5EC19F65A4}">
  <sheetPr>
    <tabColor theme="5" tint="0.39997558519241921"/>
    <pageSetUpPr fitToPage="1"/>
  </sheetPr>
  <dimension ref="A1:P21"/>
  <sheetViews>
    <sheetView tabSelected="1" workbookViewId="0">
      <selection activeCell="N7" sqref="N7"/>
    </sheetView>
  </sheetViews>
  <sheetFormatPr defaultColWidth="9.140625" defaultRowHeight="14.25" x14ac:dyDescent="0.25"/>
  <cols>
    <col min="1" max="1" width="11" style="232" customWidth="1"/>
    <col min="2" max="2" width="13.7109375" style="232" bestFit="1" customWidth="1"/>
    <col min="3" max="3" width="16.7109375" style="232" bestFit="1" customWidth="1"/>
    <col min="4" max="4" width="10" style="232" bestFit="1" customWidth="1"/>
    <col min="5" max="5" width="16" style="232" bestFit="1" customWidth="1"/>
    <col min="6" max="6" width="9.85546875" style="232" bestFit="1" customWidth="1"/>
    <col min="7" max="7" width="15.7109375" style="232" bestFit="1" customWidth="1"/>
    <col min="8" max="8" width="9.5703125" style="232" bestFit="1" customWidth="1"/>
    <col min="9" max="9" width="19.42578125" style="232" customWidth="1"/>
    <col min="10" max="10" width="9" style="232" bestFit="1" customWidth="1"/>
    <col min="11" max="11" width="13.28515625" style="232" customWidth="1"/>
    <col min="12" max="12" width="18.5703125" style="232" customWidth="1"/>
    <col min="13" max="13" width="9.140625" style="232"/>
    <col min="14" max="15" width="27.42578125" style="232" bestFit="1" customWidth="1"/>
    <col min="16" max="16" width="11" style="232" bestFit="1" customWidth="1"/>
    <col min="17" max="16384" width="9.140625" style="232"/>
  </cols>
  <sheetData>
    <row r="1" spans="1:16" x14ac:dyDescent="0.25">
      <c r="A1" s="231" t="s">
        <v>0</v>
      </c>
      <c r="B1" s="231"/>
      <c r="O1" s="231" t="s">
        <v>1</v>
      </c>
    </row>
    <row r="3" spans="1:16" x14ac:dyDescent="0.25">
      <c r="A3" s="233" t="s">
        <v>2</v>
      </c>
      <c r="B3" s="129" t="s">
        <v>3</v>
      </c>
      <c r="C3" s="234" t="s">
        <v>4</v>
      </c>
      <c r="D3" s="235" t="s">
        <v>5</v>
      </c>
      <c r="E3" s="236" t="s">
        <v>6</v>
      </c>
      <c r="F3" s="237" t="s">
        <v>7</v>
      </c>
      <c r="G3" s="238" t="s">
        <v>8</v>
      </c>
      <c r="H3" s="239" t="s">
        <v>9</v>
      </c>
      <c r="I3" s="240" t="s">
        <v>867</v>
      </c>
      <c r="J3" s="241" t="s">
        <v>865</v>
      </c>
      <c r="K3" s="155" t="s">
        <v>10</v>
      </c>
      <c r="L3" s="242" t="s">
        <v>11</v>
      </c>
      <c r="O3" s="243" t="s">
        <v>12</v>
      </c>
      <c r="P3" s="243" t="s">
        <v>13</v>
      </c>
    </row>
    <row r="4" spans="1:16" x14ac:dyDescent="0.25">
      <c r="A4" s="244" t="s">
        <v>14</v>
      </c>
      <c r="B4" s="244" t="s">
        <v>15</v>
      </c>
      <c r="C4" s="245">
        <f>'VLT01'!P27</f>
        <v>0</v>
      </c>
      <c r="D4" s="246">
        <f>'VLT01'!P26</f>
        <v>0</v>
      </c>
      <c r="E4" s="245">
        <f>'VLT01'!P43</f>
        <v>0</v>
      </c>
      <c r="F4" s="246">
        <f>'VLT01'!P42</f>
        <v>0</v>
      </c>
      <c r="G4" s="245">
        <f>'VLT01'!P89</f>
        <v>0</v>
      </c>
      <c r="H4" s="246">
        <f>'VLT01'!P88</f>
        <v>0</v>
      </c>
      <c r="I4" s="245">
        <f>'VLT01'!P96</f>
        <v>0</v>
      </c>
      <c r="J4" s="246">
        <f>'VLT01'!P94</f>
        <v>0</v>
      </c>
      <c r="K4" s="247">
        <f>'VLT01'!P98</f>
        <v>0</v>
      </c>
      <c r="L4" s="248">
        <f>'VLT01'!P102</f>
        <v>0</v>
      </c>
      <c r="O4" s="249" t="s">
        <v>866</v>
      </c>
      <c r="P4" s="250">
        <v>0</v>
      </c>
    </row>
    <row r="5" spans="1:16" x14ac:dyDescent="0.25">
      <c r="A5" s="244" t="s">
        <v>16</v>
      </c>
      <c r="B5" s="244" t="s">
        <v>17</v>
      </c>
      <c r="C5" s="245">
        <f>'VLT02'!P27</f>
        <v>0</v>
      </c>
      <c r="D5" s="246">
        <f>'VLT02'!P26</f>
        <v>0</v>
      </c>
      <c r="E5" s="245">
        <f>'VLT02'!P43</f>
        <v>0</v>
      </c>
      <c r="F5" s="246">
        <f>'VLT02'!P42</f>
        <v>0</v>
      </c>
      <c r="G5" s="245">
        <f>'VLT02'!P89</f>
        <v>0</v>
      </c>
      <c r="H5" s="246">
        <f>'VLT02'!P88</f>
        <v>0</v>
      </c>
      <c r="I5" s="245">
        <f>'VLT02'!P96</f>
        <v>0</v>
      </c>
      <c r="J5" s="246">
        <f>'VLT02'!P94</f>
        <v>0</v>
      </c>
      <c r="K5" s="247">
        <f>'VLT02'!P98</f>
        <v>0</v>
      </c>
      <c r="L5" s="248">
        <f>'VLT02'!P102</f>
        <v>0</v>
      </c>
      <c r="O5" s="251" t="s">
        <v>18</v>
      </c>
      <c r="P5" s="252">
        <v>0</v>
      </c>
    </row>
    <row r="6" spans="1:16" x14ac:dyDescent="0.25">
      <c r="A6" s="244" t="s">
        <v>19</v>
      </c>
      <c r="B6" s="244" t="s">
        <v>20</v>
      </c>
      <c r="C6" s="245">
        <f>'VLT03'!P27</f>
        <v>0</v>
      </c>
      <c r="D6" s="246">
        <f>'VLT03'!P26</f>
        <v>0</v>
      </c>
      <c r="E6" s="245">
        <f>'VLT03'!P43</f>
        <v>0</v>
      </c>
      <c r="F6" s="246">
        <f>'VLT03'!P42</f>
        <v>0</v>
      </c>
      <c r="G6" s="245">
        <f>'VLT03'!P89</f>
        <v>0</v>
      </c>
      <c r="H6" s="246">
        <f>'VLT03'!P88</f>
        <v>0</v>
      </c>
      <c r="I6" s="245">
        <f>'VLT03'!P96</f>
        <v>0</v>
      </c>
      <c r="J6" s="246">
        <f>'VLT03'!P94</f>
        <v>0</v>
      </c>
      <c r="K6" s="247">
        <f>'VLT03'!P98</f>
        <v>0</v>
      </c>
      <c r="L6" s="248">
        <f>'VLT03'!P102</f>
        <v>0</v>
      </c>
      <c r="O6" s="253" t="s">
        <v>21</v>
      </c>
      <c r="P6" s="254">
        <v>0</v>
      </c>
    </row>
    <row r="7" spans="1:16" x14ac:dyDescent="0.25">
      <c r="A7" s="244" t="s">
        <v>22</v>
      </c>
      <c r="B7" s="244" t="s">
        <v>23</v>
      </c>
      <c r="C7" s="245">
        <f>'VLT04'!P27</f>
        <v>0</v>
      </c>
      <c r="D7" s="246">
        <f>'VLT04'!P26</f>
        <v>0</v>
      </c>
      <c r="E7" s="245">
        <f>'VLT04'!P43</f>
        <v>0</v>
      </c>
      <c r="F7" s="246">
        <f>'VLT04'!P42</f>
        <v>0</v>
      </c>
      <c r="G7" s="245">
        <f>'VLT04'!P89</f>
        <v>0</v>
      </c>
      <c r="H7" s="246">
        <f>'VLT04'!P88</f>
        <v>0</v>
      </c>
      <c r="I7" s="245">
        <f>'VLT04'!P96</f>
        <v>0</v>
      </c>
      <c r="J7" s="246">
        <f>'VLT04'!P94</f>
        <v>0</v>
      </c>
      <c r="K7" s="247">
        <f>'VLT04'!P98</f>
        <v>0</v>
      </c>
      <c r="L7" s="248">
        <f>'VLT04'!P102</f>
        <v>0</v>
      </c>
      <c r="O7" s="255" t="s">
        <v>24</v>
      </c>
      <c r="P7" s="256">
        <v>0</v>
      </c>
    </row>
    <row r="8" spans="1:16" x14ac:dyDescent="0.25">
      <c r="A8" s="244" t="s">
        <v>25</v>
      </c>
      <c r="B8" s="244" t="s">
        <v>26</v>
      </c>
      <c r="C8" s="245">
        <f>'VLT05'!P27</f>
        <v>0</v>
      </c>
      <c r="D8" s="246">
        <f>'VLT05'!P26</f>
        <v>0</v>
      </c>
      <c r="E8" s="245">
        <f>'VLT05'!P43</f>
        <v>0</v>
      </c>
      <c r="F8" s="246">
        <f>'VLT05'!P42</f>
        <v>0</v>
      </c>
      <c r="G8" s="245">
        <f>'VLT05'!P89</f>
        <v>0</v>
      </c>
      <c r="H8" s="246">
        <f>'VLT05'!P88</f>
        <v>0</v>
      </c>
      <c r="I8" s="245">
        <f>'VLT05'!P96</f>
        <v>0</v>
      </c>
      <c r="J8" s="246">
        <f>'VLT05'!P94</f>
        <v>0</v>
      </c>
      <c r="K8" s="247">
        <f>'VLT05'!P98</f>
        <v>0</v>
      </c>
      <c r="L8" s="248">
        <f>'VLT05'!P102</f>
        <v>0</v>
      </c>
    </row>
    <row r="9" spans="1:16" x14ac:dyDescent="0.25">
      <c r="A9" s="244" t="s">
        <v>27</v>
      </c>
      <c r="B9" s="244" t="s">
        <v>28</v>
      </c>
      <c r="C9" s="245">
        <f>'VLT06'!P27</f>
        <v>0</v>
      </c>
      <c r="D9" s="246">
        <f>'VLT06'!P26</f>
        <v>0</v>
      </c>
      <c r="E9" s="245">
        <f>'VLT06'!P43</f>
        <v>0</v>
      </c>
      <c r="F9" s="246">
        <f>'VLT06'!P42</f>
        <v>0</v>
      </c>
      <c r="G9" s="245">
        <f>'VLT06'!P89</f>
        <v>0</v>
      </c>
      <c r="H9" s="246">
        <f>'VLT06'!P88</f>
        <v>0</v>
      </c>
      <c r="I9" s="245">
        <f>'VLT06'!P96</f>
        <v>0</v>
      </c>
      <c r="J9" s="246">
        <f>'VLT06'!P94</f>
        <v>0</v>
      </c>
      <c r="K9" s="247">
        <f>'VLT06'!P98</f>
        <v>0</v>
      </c>
      <c r="L9" s="248">
        <f>'VLT06'!P102</f>
        <v>0</v>
      </c>
    </row>
    <row r="10" spans="1:16" x14ac:dyDescent="0.25">
      <c r="A10" s="244" t="s">
        <v>29</v>
      </c>
      <c r="B10" s="244" t="s">
        <v>30</v>
      </c>
      <c r="C10" s="245">
        <f>'VLT07'!P27</f>
        <v>0</v>
      </c>
      <c r="D10" s="246">
        <f>'VLT07'!P26</f>
        <v>0</v>
      </c>
      <c r="E10" s="245">
        <f>'VLT07'!P43</f>
        <v>0</v>
      </c>
      <c r="F10" s="246">
        <f>'VLT07'!P42</f>
        <v>0</v>
      </c>
      <c r="G10" s="245">
        <f>'VLT07'!P89</f>
        <v>0</v>
      </c>
      <c r="H10" s="246">
        <f>'VLT07'!P88</f>
        <v>0</v>
      </c>
      <c r="I10" s="245">
        <f>'VLT07'!P96</f>
        <v>0</v>
      </c>
      <c r="J10" s="246">
        <f>'VLT07'!P94</f>
        <v>0</v>
      </c>
      <c r="K10" s="247">
        <f>'VLT07'!P98</f>
        <v>0</v>
      </c>
      <c r="L10" s="248">
        <f>'VLT07'!P102</f>
        <v>0</v>
      </c>
    </row>
    <row r="11" spans="1:16" x14ac:dyDescent="0.25">
      <c r="A11" s="244" t="s">
        <v>31</v>
      </c>
      <c r="B11" s="244" t="s">
        <v>32</v>
      </c>
      <c r="C11" s="245">
        <f>'VLT08'!P27</f>
        <v>0</v>
      </c>
      <c r="D11" s="246">
        <f>'VLT08'!P26</f>
        <v>0</v>
      </c>
      <c r="E11" s="245">
        <f>'VLT08'!P43</f>
        <v>0</v>
      </c>
      <c r="F11" s="246">
        <f>'VLT08'!P42</f>
        <v>0</v>
      </c>
      <c r="G11" s="245">
        <f>'VLT08'!P89</f>
        <v>0</v>
      </c>
      <c r="H11" s="246">
        <f>'VLT08'!P88</f>
        <v>0</v>
      </c>
      <c r="I11" s="245">
        <f>'VLT08'!P96</f>
        <v>0</v>
      </c>
      <c r="J11" s="246">
        <f>'VLT08'!P94</f>
        <v>0</v>
      </c>
      <c r="K11" s="247">
        <f>'VLT08'!P98</f>
        <v>0</v>
      </c>
      <c r="L11" s="248">
        <f>'VLT08'!P102</f>
        <v>0</v>
      </c>
    </row>
    <row r="12" spans="1:16" x14ac:dyDescent="0.25">
      <c r="A12" s="244" t="s">
        <v>33</v>
      </c>
      <c r="B12" s="244" t="s">
        <v>34</v>
      </c>
      <c r="C12" s="245">
        <f>'VLT09'!P27</f>
        <v>0</v>
      </c>
      <c r="D12" s="246">
        <f>'VLT09'!P26</f>
        <v>0</v>
      </c>
      <c r="E12" s="245">
        <f>'VLT09'!P43</f>
        <v>0</v>
      </c>
      <c r="F12" s="246">
        <f>'VLT09'!P42</f>
        <v>0</v>
      </c>
      <c r="G12" s="245">
        <f>'VLT09'!P89</f>
        <v>0</v>
      </c>
      <c r="H12" s="246">
        <f>'VLT09'!P88</f>
        <v>0</v>
      </c>
      <c r="I12" s="245">
        <f>'VLT09'!P96</f>
        <v>0</v>
      </c>
      <c r="J12" s="246">
        <f>'VLT09'!P94</f>
        <v>0</v>
      </c>
      <c r="K12" s="247">
        <f>'VLT09'!P98</f>
        <v>0</v>
      </c>
      <c r="L12" s="248">
        <f>'VLT09'!P102</f>
        <v>0</v>
      </c>
    </row>
    <row r="13" spans="1:16" x14ac:dyDescent="0.25">
      <c r="A13" s="244" t="s">
        <v>35</v>
      </c>
      <c r="B13" s="244" t="s">
        <v>36</v>
      </c>
      <c r="C13" s="245">
        <f>'VLT10'!P27</f>
        <v>0</v>
      </c>
      <c r="D13" s="246">
        <f>'VLT10'!P26</f>
        <v>0</v>
      </c>
      <c r="E13" s="245">
        <f>'VLT10'!P43</f>
        <v>0</v>
      </c>
      <c r="F13" s="246">
        <f>'VLT10'!P42</f>
        <v>0</v>
      </c>
      <c r="G13" s="245">
        <f>'VLT10'!P89</f>
        <v>0</v>
      </c>
      <c r="H13" s="246">
        <f>'VLT10'!P88</f>
        <v>0</v>
      </c>
      <c r="I13" s="245">
        <f>'VLT10'!P96</f>
        <v>0</v>
      </c>
      <c r="J13" s="246">
        <f>'VLT10'!P94</f>
        <v>0</v>
      </c>
      <c r="K13" s="247">
        <f>'VLT10'!P98</f>
        <v>0</v>
      </c>
      <c r="L13" s="248">
        <f>'VLT10'!P102</f>
        <v>0</v>
      </c>
    </row>
    <row r="14" spans="1:16" x14ac:dyDescent="0.25">
      <c r="A14" s="257" t="s">
        <v>37</v>
      </c>
      <c r="B14" s="257" t="s">
        <v>38</v>
      </c>
      <c r="C14" s="258">
        <f>'VLT11'!P27</f>
        <v>0</v>
      </c>
      <c r="D14" s="259">
        <f>'VLT11'!P26</f>
        <v>0</v>
      </c>
      <c r="E14" s="258">
        <f>'VLT11'!P43</f>
        <v>0</v>
      </c>
      <c r="F14" s="259">
        <f>'VLT11'!P42</f>
        <v>0</v>
      </c>
      <c r="G14" s="258">
        <f>'VLT11'!P89</f>
        <v>0</v>
      </c>
      <c r="H14" s="259">
        <f>'VLT11'!P88</f>
        <v>0</v>
      </c>
      <c r="I14" s="245">
        <f>'VLT11'!P96</f>
        <v>0</v>
      </c>
      <c r="J14" s="246">
        <f>'VLT11'!P94</f>
        <v>0</v>
      </c>
      <c r="K14" s="260">
        <f>'VLT11'!P98</f>
        <v>0</v>
      </c>
      <c r="L14" s="261">
        <f>'VLT11'!P102</f>
        <v>0</v>
      </c>
    </row>
    <row r="15" spans="1:16" x14ac:dyDescent="0.25">
      <c r="A15" s="262" t="s">
        <v>39</v>
      </c>
      <c r="B15" s="262"/>
      <c r="C15" s="263">
        <f>GEN!P29</f>
        <v>0</v>
      </c>
      <c r="D15" s="264" t="s">
        <v>40</v>
      </c>
      <c r="E15" s="263">
        <f>GEN!L6</f>
        <v>0</v>
      </c>
      <c r="F15" s="264" t="s">
        <v>40</v>
      </c>
      <c r="G15" s="263">
        <f>GEN!L14</f>
        <v>0</v>
      </c>
      <c r="H15" s="264">
        <f>GEN!L13</f>
        <v>0</v>
      </c>
      <c r="I15" s="265">
        <f>GEN!L18</f>
        <v>0</v>
      </c>
      <c r="J15" s="266"/>
      <c r="K15" s="267">
        <f>GEN!L20</f>
        <v>0</v>
      </c>
      <c r="L15" s="268">
        <f>GEN!L24</f>
        <v>0</v>
      </c>
    </row>
    <row r="16" spans="1:16" x14ac:dyDescent="0.25">
      <c r="A16" s="262" t="s">
        <v>41</v>
      </c>
      <c r="B16" s="262"/>
      <c r="C16" s="269">
        <f>SUBTOTAL(109,Table6[STA (INCL. PD)])</f>
        <v>0</v>
      </c>
      <c r="D16" s="270">
        <f>SUBTOTAL(109,Table6[PD_STA])</f>
        <v>0</v>
      </c>
      <c r="E16" s="271">
        <f>SUBTOTAL(109,Table6[STR (INCL PD)])</f>
        <v>0</v>
      </c>
      <c r="F16" s="272">
        <f>SUBTOTAL(109,Table6[PD_STR])</f>
        <v>0</v>
      </c>
      <c r="G16" s="273">
        <f>SUBTOTAL(109,Table6[ELE (INCL PD)])</f>
        <v>0</v>
      </c>
      <c r="H16" s="274">
        <f>SUBTOTAL(109,Table6[PD_ELE])</f>
        <v>0</v>
      </c>
      <c r="I16" s="275">
        <f>SUBTOTAL(109,Table6[SPOL (INCL Z3DM)])</f>
        <v>0</v>
      </c>
      <c r="J16" s="276">
        <f>SUBTOTAL(109,Table6[Z3DM])</f>
        <v>0</v>
      </c>
      <c r="K16" s="175">
        <f>SUBTOTAL(109,Table6[TOTAL])</f>
        <v>0</v>
      </c>
      <c r="L16" s="268">
        <f>SUBTOTAL(109,Table6[TOTAL (incl. risk)])</f>
        <v>0</v>
      </c>
    </row>
    <row r="21" spans="8:8" x14ac:dyDescent="0.25">
      <c r="H21" s="277"/>
    </row>
  </sheetData>
  <phoneticPr fontId="3" type="noConversion"/>
  <pageMargins left="0.7" right="0.7" top="0.75" bottom="0.75" header="0.3" footer="0.3"/>
  <pageSetup paperSize="9" scale="66" orientation="landscape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73632-C7DE-4CA8-907B-41D80BB6874F}">
  <sheetPr>
    <tabColor theme="9" tint="0.39997558519241921"/>
  </sheetPr>
  <dimension ref="A1:Q104"/>
  <sheetViews>
    <sheetView zoomScale="90" zoomScaleNormal="90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5703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19" t="s">
        <v>407</v>
      </c>
      <c r="G3" s="119" t="s">
        <v>103</v>
      </c>
      <c r="H3" s="122">
        <f>(285+94+12)+(3+11+3+11+11+8+11)</f>
        <v>449</v>
      </c>
      <c r="I3" s="122">
        <f t="shared" ref="I3:K5" si="0">IF($E3="ne","-",)</f>
        <v>0</v>
      </c>
      <c r="J3" s="122">
        <f t="shared" si="0"/>
        <v>0</v>
      </c>
      <c r="K3" s="122">
        <f t="shared" si="0"/>
        <v>0</v>
      </c>
      <c r="L3" s="123">
        <f t="shared" ref="L3" si="1">IF($E3="ne","-",H3+I3+J3+K3)</f>
        <v>449</v>
      </c>
      <c r="M3" s="124"/>
      <c r="N3" s="124"/>
      <c r="O3" s="124"/>
      <c r="P3" s="124">
        <f t="shared" ref="P3:P39" si="2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113</v>
      </c>
      <c r="F4" s="128"/>
      <c r="G4" s="129" t="s">
        <v>103</v>
      </c>
      <c r="H4" s="122" t="str">
        <f>IF($E4="ne","-",)</f>
        <v>-</v>
      </c>
      <c r="I4" s="122" t="str">
        <f t="shared" si="0"/>
        <v>-</v>
      </c>
      <c r="J4" s="122" t="str">
        <f t="shared" si="0"/>
        <v>-</v>
      </c>
      <c r="K4" s="122" t="str">
        <f t="shared" si="0"/>
        <v>-</v>
      </c>
      <c r="L4" s="123" t="str">
        <f t="shared" ref="L4:L39" si="3">IF($E4="ne","-",H4+I4+J4+K4)</f>
        <v>-</v>
      </c>
      <c r="M4" s="130"/>
      <c r="N4" s="124"/>
      <c r="O4" s="124"/>
      <c r="P4" s="124">
        <f t="shared" si="2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G5" s="129" t="s">
        <v>103</v>
      </c>
      <c r="H5" s="122" t="str">
        <f>IF($E5="ne","-",)</f>
        <v>-</v>
      </c>
      <c r="I5" s="122" t="str">
        <f t="shared" si="0"/>
        <v>-</v>
      </c>
      <c r="J5" s="122" t="str">
        <f t="shared" si="0"/>
        <v>-</v>
      </c>
      <c r="K5" s="122" t="str">
        <f t="shared" si="0"/>
        <v>-</v>
      </c>
      <c r="L5" s="123" t="str">
        <f t="shared" si="3"/>
        <v>-</v>
      </c>
      <c r="M5" s="130"/>
      <c r="N5" s="124"/>
      <c r="O5" s="124"/>
      <c r="P5" s="124">
        <f t="shared" si="2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408</v>
      </c>
      <c r="G6" s="129" t="s">
        <v>103</v>
      </c>
      <c r="H6" s="122">
        <f>(28+83+22+60+11+22)+(42+4+9)</f>
        <v>281</v>
      </c>
      <c r="I6" s="122">
        <f t="shared" ref="I6:K8" si="4">IF($E6="ne","-",)</f>
        <v>0</v>
      </c>
      <c r="J6" s="122">
        <v>3</v>
      </c>
      <c r="K6" s="122">
        <f t="shared" si="4"/>
        <v>0</v>
      </c>
      <c r="L6" s="123">
        <f t="shared" si="3"/>
        <v>284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>
        <v>0</v>
      </c>
      <c r="I7" s="122" t="str">
        <f t="shared" si="4"/>
        <v>-</v>
      </c>
      <c r="J7" s="122" t="str">
        <f t="shared" si="4"/>
        <v>-</v>
      </c>
      <c r="K7" s="122" t="str">
        <f t="shared" si="4"/>
        <v>-</v>
      </c>
      <c r="L7" s="123" t="str">
        <f t="shared" si="3"/>
        <v>-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409</v>
      </c>
      <c r="G8" s="129" t="s">
        <v>103</v>
      </c>
      <c r="H8" s="122">
        <f>(210+7)</f>
        <v>217</v>
      </c>
      <c r="I8" s="122">
        <f t="shared" si="4"/>
        <v>0</v>
      </c>
      <c r="J8" s="122">
        <f t="shared" si="4"/>
        <v>0</v>
      </c>
      <c r="K8" s="122">
        <v>6</v>
      </c>
      <c r="L8" s="123">
        <f t="shared" si="3"/>
        <v>223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H19" si="5">IF($E9="ne","-",)</f>
        <v>-</v>
      </c>
      <c r="I9" s="122" t="str">
        <f t="shared" ref="I9:K18" si="6">IF($E9="ne","-",)</f>
        <v>-</v>
      </c>
      <c r="J9" s="122" t="str">
        <f t="shared" si="6"/>
        <v>-</v>
      </c>
      <c r="K9" s="122" t="str">
        <f t="shared" si="6"/>
        <v>-</v>
      </c>
      <c r="L9" s="123" t="str">
        <f t="shared" si="3"/>
        <v>-</v>
      </c>
      <c r="M9" s="130"/>
      <c r="N9" s="130"/>
      <c r="O9" s="130"/>
      <c r="P9" s="130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5"/>
        <v>-</v>
      </c>
      <c r="I10" s="122" t="str">
        <f t="shared" si="6"/>
        <v>-</v>
      </c>
      <c r="J10" s="122" t="str">
        <f t="shared" si="6"/>
        <v>-</v>
      </c>
      <c r="K10" s="122" t="str">
        <f t="shared" si="6"/>
        <v>-</v>
      </c>
      <c r="L10" s="123" t="str">
        <f t="shared" si="3"/>
        <v>-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410</v>
      </c>
      <c r="G11" s="129" t="s">
        <v>74</v>
      </c>
      <c r="H11" s="122">
        <f>IF($E11="ne","-",)</f>
        <v>0</v>
      </c>
      <c r="I11" s="122">
        <f t="shared" si="6"/>
        <v>0</v>
      </c>
      <c r="J11" s="122">
        <f t="shared" si="6"/>
        <v>0</v>
      </c>
      <c r="K11" s="122">
        <f t="shared" si="6"/>
        <v>0</v>
      </c>
      <c r="L11" s="123">
        <v>1</v>
      </c>
      <c r="M11" s="130"/>
      <c r="N11" s="130"/>
      <c r="O11" s="130"/>
      <c r="P11" s="130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11" t="s">
        <v>411</v>
      </c>
      <c r="G12" s="129" t="s">
        <v>74</v>
      </c>
      <c r="H12" s="122">
        <f t="shared" si="5"/>
        <v>0</v>
      </c>
      <c r="I12" s="122">
        <f t="shared" si="6"/>
        <v>0</v>
      </c>
      <c r="J12" s="122">
        <f t="shared" si="6"/>
        <v>0</v>
      </c>
      <c r="K12" s="122">
        <f t="shared" si="6"/>
        <v>0</v>
      </c>
      <c r="L12" s="123">
        <v>1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5"/>
        <v>-</v>
      </c>
      <c r="I13" s="122" t="str">
        <f t="shared" si="6"/>
        <v>-</v>
      </c>
      <c r="J13" s="122" t="str">
        <f t="shared" si="6"/>
        <v>-</v>
      </c>
      <c r="K13" s="122" t="str">
        <f t="shared" si="6"/>
        <v>-</v>
      </c>
      <c r="L13" s="123" t="str">
        <f t="shared" si="3"/>
        <v>-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28"/>
      <c r="G14" s="129" t="s">
        <v>63</v>
      </c>
      <c r="H14" s="122" t="str">
        <f t="shared" si="5"/>
        <v>-</v>
      </c>
      <c r="I14" s="122" t="str">
        <f t="shared" si="6"/>
        <v>-</v>
      </c>
      <c r="J14" s="122" t="str">
        <f t="shared" si="6"/>
        <v>-</v>
      </c>
      <c r="K14" s="122" t="str">
        <f t="shared" si="6"/>
        <v>-</v>
      </c>
      <c r="L14" s="123" t="str">
        <f t="shared" si="3"/>
        <v>-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62</v>
      </c>
      <c r="F15" s="129" t="s">
        <v>412</v>
      </c>
      <c r="G15" s="129" t="s">
        <v>63</v>
      </c>
      <c r="H15" s="122">
        <v>3</v>
      </c>
      <c r="I15" s="122">
        <f t="shared" si="6"/>
        <v>0</v>
      </c>
      <c r="J15" s="122">
        <f t="shared" si="6"/>
        <v>0</v>
      </c>
      <c r="K15" s="122">
        <f t="shared" si="6"/>
        <v>0</v>
      </c>
      <c r="L15" s="123">
        <f t="shared" si="3"/>
        <v>3</v>
      </c>
      <c r="M15" s="130"/>
      <c r="N15" s="130"/>
      <c r="O15" s="130"/>
      <c r="P15" s="130">
        <f t="shared" si="2"/>
        <v>0</v>
      </c>
      <c r="Q15" s="129" t="s">
        <v>312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225</v>
      </c>
      <c r="F16" s="134" t="s">
        <v>413</v>
      </c>
      <c r="G16" s="134" t="s">
        <v>63</v>
      </c>
      <c r="H16" s="137">
        <f t="shared" si="5"/>
        <v>0</v>
      </c>
      <c r="I16" s="137">
        <f t="shared" si="6"/>
        <v>0</v>
      </c>
      <c r="J16" s="137">
        <f t="shared" si="6"/>
        <v>0</v>
      </c>
      <c r="K16" s="137">
        <f t="shared" si="6"/>
        <v>0</v>
      </c>
      <c r="L16" s="138">
        <f t="shared" si="3"/>
        <v>0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5"/>
        <v>-</v>
      </c>
      <c r="I17" s="122" t="str">
        <f t="shared" si="6"/>
        <v>-</v>
      </c>
      <c r="J17" s="122" t="str">
        <f t="shared" si="6"/>
        <v>-</v>
      </c>
      <c r="K17" s="122" t="str">
        <f t="shared" si="6"/>
        <v>-</v>
      </c>
      <c r="L17" s="123" t="str">
        <f t="shared" si="3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29" t="s">
        <v>414</v>
      </c>
      <c r="G18" s="134" t="s">
        <v>63</v>
      </c>
      <c r="H18" s="137">
        <v>6</v>
      </c>
      <c r="I18" s="137">
        <f t="shared" si="6"/>
        <v>0</v>
      </c>
      <c r="J18" s="137">
        <f t="shared" si="6"/>
        <v>0</v>
      </c>
      <c r="K18" s="137">
        <f t="shared" si="6"/>
        <v>0</v>
      </c>
      <c r="L18" s="138">
        <f t="shared" si="3"/>
        <v>6</v>
      </c>
      <c r="M18" s="139"/>
      <c r="N18" s="139"/>
      <c r="O18" s="130"/>
      <c r="P18" s="130">
        <f t="shared" si="2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5"/>
        <v>-</v>
      </c>
      <c r="I19" s="122" t="str">
        <f t="shared" ref="I19:K67" si="7">IF($E19="ne","-",)</f>
        <v>-</v>
      </c>
      <c r="J19" s="122" t="str">
        <f t="shared" si="7"/>
        <v>-</v>
      </c>
      <c r="K19" s="122" t="str">
        <f t="shared" si="7"/>
        <v>-</v>
      </c>
      <c r="L19" s="123" t="str">
        <f t="shared" si="3"/>
        <v>-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415</v>
      </c>
      <c r="G20" s="129" t="s">
        <v>63</v>
      </c>
      <c r="H20" s="122">
        <v>6</v>
      </c>
      <c r="I20" s="122">
        <f t="shared" si="7"/>
        <v>0</v>
      </c>
      <c r="J20" s="122">
        <v>1</v>
      </c>
      <c r="K20" s="122">
        <f t="shared" ref="K20:K54" si="8">IF($E20="ne","-",)</f>
        <v>0</v>
      </c>
      <c r="L20" s="123">
        <f t="shared" si="3"/>
        <v>7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ref="H21:H45" si="9">IF($E21="ne","-",)</f>
        <v>-</v>
      </c>
      <c r="I21" s="122" t="str">
        <f t="shared" si="7"/>
        <v>-</v>
      </c>
      <c r="J21" s="122" t="str">
        <f t="shared" ref="J21:J59" si="10">IF($E21="ne","-",)</f>
        <v>-</v>
      </c>
      <c r="K21" s="122" t="str">
        <f t="shared" si="8"/>
        <v>-</v>
      </c>
      <c r="L21" s="138" t="str">
        <f t="shared" si="3"/>
        <v>-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113</v>
      </c>
      <c r="F22" s="154"/>
      <c r="G22" s="155" t="s">
        <v>74</v>
      </c>
      <c r="H22" s="156" t="str">
        <f t="shared" si="9"/>
        <v>-</v>
      </c>
      <c r="I22" s="156" t="str">
        <f t="shared" si="7"/>
        <v>-</v>
      </c>
      <c r="J22" s="156" t="str">
        <f t="shared" si="10"/>
        <v>-</v>
      </c>
      <c r="K22" s="156" t="str">
        <f t="shared" si="8"/>
        <v>-</v>
      </c>
      <c r="L22" s="138" t="str">
        <f t="shared" si="3"/>
        <v>-</v>
      </c>
      <c r="M22" s="157"/>
      <c r="N22" s="157"/>
      <c r="O22" s="157"/>
      <c r="P22" s="157">
        <f t="shared" si="2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416</v>
      </c>
      <c r="G23" s="155" t="s">
        <v>74</v>
      </c>
      <c r="H23" s="156">
        <f t="shared" si="9"/>
        <v>0</v>
      </c>
      <c r="I23" s="156">
        <f t="shared" si="7"/>
        <v>0</v>
      </c>
      <c r="J23" s="156">
        <f t="shared" si="10"/>
        <v>0</v>
      </c>
      <c r="K23" s="156">
        <f t="shared" si="8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1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417</v>
      </c>
      <c r="G29" s="146" t="s">
        <v>63</v>
      </c>
      <c r="H29" s="169">
        <v>6</v>
      </c>
      <c r="I29" s="169">
        <f t="shared" si="7"/>
        <v>0</v>
      </c>
      <c r="J29" s="169">
        <f t="shared" si="10"/>
        <v>0</v>
      </c>
      <c r="K29" s="169">
        <f t="shared" si="8"/>
        <v>0</v>
      </c>
      <c r="L29" s="170">
        <f t="shared" si="3"/>
        <v>6</v>
      </c>
      <c r="M29" s="171"/>
      <c r="N29" s="171"/>
      <c r="O29" s="171"/>
      <c r="P29" s="171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73" t="str">
        <f t="shared" si="9"/>
        <v>-</v>
      </c>
      <c r="I30" s="173" t="str">
        <f t="shared" si="7"/>
        <v>-</v>
      </c>
      <c r="J30" s="173" t="str">
        <f t="shared" si="10"/>
        <v>-</v>
      </c>
      <c r="K30" s="173" t="str">
        <f t="shared" si="8"/>
        <v>-</v>
      </c>
      <c r="L30" s="174" t="str">
        <f t="shared" si="3"/>
        <v>-</v>
      </c>
      <c r="M30" s="175"/>
      <c r="N30" s="175"/>
      <c r="O30" s="175"/>
      <c r="P30" s="175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73" t="str">
        <f t="shared" si="9"/>
        <v>-</v>
      </c>
      <c r="I31" s="173" t="str">
        <f t="shared" si="7"/>
        <v>-</v>
      </c>
      <c r="J31" s="173" t="str">
        <f t="shared" si="10"/>
        <v>-</v>
      </c>
      <c r="K31" s="173" t="str">
        <f t="shared" si="8"/>
        <v>-</v>
      </c>
      <c r="L31" s="174" t="str">
        <f t="shared" si="3"/>
        <v>-</v>
      </c>
      <c r="M31" s="175"/>
      <c r="N31" s="175"/>
      <c r="O31" s="175"/>
      <c r="P31" s="175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73" t="str">
        <f t="shared" si="9"/>
        <v>-</v>
      </c>
      <c r="I32" s="173" t="str">
        <f t="shared" si="7"/>
        <v>-</v>
      </c>
      <c r="J32" s="173" t="str">
        <f t="shared" si="10"/>
        <v>-</v>
      </c>
      <c r="K32" s="173" t="str">
        <f t="shared" si="8"/>
        <v>-</v>
      </c>
      <c r="L32" s="174" t="str">
        <f t="shared" si="3"/>
        <v>-</v>
      </c>
      <c r="M32" s="175"/>
      <c r="N32" s="175"/>
      <c r="O32" s="175"/>
      <c r="P32" s="175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73" t="str">
        <f t="shared" si="9"/>
        <v>-</v>
      </c>
      <c r="I33" s="173" t="str">
        <f t="shared" si="7"/>
        <v>-</v>
      </c>
      <c r="J33" s="173" t="str">
        <f t="shared" si="10"/>
        <v>-</v>
      </c>
      <c r="K33" s="173" t="str">
        <f t="shared" si="8"/>
        <v>-</v>
      </c>
      <c r="L33" s="174" t="str">
        <f t="shared" si="3"/>
        <v>-</v>
      </c>
      <c r="M33" s="175"/>
      <c r="N33" s="175"/>
      <c r="O33" s="175"/>
      <c r="P33" s="175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73" t="str">
        <f t="shared" si="9"/>
        <v>-</v>
      </c>
      <c r="I34" s="173" t="str">
        <f t="shared" si="7"/>
        <v>-</v>
      </c>
      <c r="J34" s="173" t="str">
        <f t="shared" si="10"/>
        <v>-</v>
      </c>
      <c r="K34" s="173" t="str">
        <f t="shared" si="8"/>
        <v>-</v>
      </c>
      <c r="L34" s="177" t="str">
        <f t="shared" si="3"/>
        <v>-</v>
      </c>
      <c r="M34" s="178"/>
      <c r="N34" s="178"/>
      <c r="O34" s="178"/>
      <c r="P34" s="178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80" t="str">
        <f t="shared" si="9"/>
        <v>-</v>
      </c>
      <c r="I35" s="180" t="str">
        <f t="shared" si="7"/>
        <v>-</v>
      </c>
      <c r="J35" s="180" t="str">
        <f t="shared" si="10"/>
        <v>-</v>
      </c>
      <c r="K35" s="180" t="str">
        <f t="shared" si="8"/>
        <v>-</v>
      </c>
      <c r="L35" s="177" t="str">
        <f t="shared" si="3"/>
        <v>-</v>
      </c>
      <c r="M35" s="181"/>
      <c r="N35" s="181"/>
      <c r="O35" s="181"/>
      <c r="P35" s="181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11" t="s">
        <v>417</v>
      </c>
      <c r="G36" s="129" t="s">
        <v>74</v>
      </c>
      <c r="H36" s="173">
        <f>2*(18+7+13+8+10+10+9+9)+2*(3+3+3+2+3+4)</f>
        <v>204</v>
      </c>
      <c r="I36" s="173">
        <f t="shared" si="7"/>
        <v>0</v>
      </c>
      <c r="J36" s="173">
        <f t="shared" si="10"/>
        <v>0</v>
      </c>
      <c r="K36" s="173">
        <f t="shared" si="8"/>
        <v>0</v>
      </c>
      <c r="L36" s="174">
        <v>6</v>
      </c>
      <c r="M36" s="175"/>
      <c r="N36" s="175"/>
      <c r="O36" s="175"/>
      <c r="P36" s="175">
        <f t="shared" si="2"/>
        <v>0</v>
      </c>
      <c r="Q36" s="129" t="s">
        <v>313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73" t="str">
        <f t="shared" si="9"/>
        <v>-</v>
      </c>
      <c r="I37" s="173" t="str">
        <f t="shared" si="7"/>
        <v>-</v>
      </c>
      <c r="J37" s="173" t="str">
        <f t="shared" si="10"/>
        <v>-</v>
      </c>
      <c r="K37" s="173" t="str">
        <f t="shared" si="8"/>
        <v>-</v>
      </c>
      <c r="L37" s="174" t="str">
        <f t="shared" si="3"/>
        <v>-</v>
      </c>
      <c r="M37" s="175"/>
      <c r="N37" s="175"/>
      <c r="O37" s="175"/>
      <c r="P37" s="175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73" t="str">
        <f t="shared" si="9"/>
        <v>-</v>
      </c>
      <c r="I38" s="173" t="str">
        <f t="shared" si="7"/>
        <v>-</v>
      </c>
      <c r="J38" s="173" t="str">
        <f t="shared" si="10"/>
        <v>-</v>
      </c>
      <c r="K38" s="173" t="str">
        <f t="shared" si="8"/>
        <v>-</v>
      </c>
      <c r="L38" s="174" t="str">
        <f t="shared" si="3"/>
        <v>-</v>
      </c>
      <c r="M38" s="175"/>
      <c r="N38" s="175"/>
      <c r="O38" s="175"/>
      <c r="P38" s="175">
        <f t="shared" si="2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82" t="str">
        <f t="shared" si="9"/>
        <v>-</v>
      </c>
      <c r="I39" s="182" t="str">
        <f t="shared" si="7"/>
        <v>-</v>
      </c>
      <c r="J39" s="182" t="str">
        <f t="shared" si="10"/>
        <v>-</v>
      </c>
      <c r="K39" s="182" t="str">
        <f t="shared" si="8"/>
        <v>-</v>
      </c>
      <c r="L39" s="177" t="str">
        <f t="shared" si="3"/>
        <v>-</v>
      </c>
      <c r="M39" s="178"/>
      <c r="N39" s="178"/>
      <c r="O39" s="178"/>
      <c r="P39" s="178">
        <f t="shared" si="2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134" t="s">
        <v>284</v>
      </c>
      <c r="G40" s="134" t="s">
        <v>74</v>
      </c>
      <c r="H40" s="180">
        <f t="shared" si="9"/>
        <v>0</v>
      </c>
      <c r="I40" s="180">
        <f t="shared" si="7"/>
        <v>0</v>
      </c>
      <c r="J40" s="180">
        <f t="shared" si="10"/>
        <v>0</v>
      </c>
      <c r="K40" s="180">
        <f t="shared" si="8"/>
        <v>0</v>
      </c>
      <c r="L40" s="177">
        <v>1</v>
      </c>
      <c r="M40" s="178"/>
      <c r="N40" s="178"/>
      <c r="O40" s="178"/>
      <c r="P40" s="178">
        <f t="shared" ref="P40:P75" si="11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418</v>
      </c>
      <c r="G41" s="155" t="s">
        <v>74</v>
      </c>
      <c r="H41" s="180">
        <f t="shared" si="9"/>
        <v>0</v>
      </c>
      <c r="I41" s="180">
        <f t="shared" si="7"/>
        <v>0</v>
      </c>
      <c r="J41" s="180">
        <f t="shared" si="10"/>
        <v>0</v>
      </c>
      <c r="K41" s="180">
        <f t="shared" si="8"/>
        <v>0</v>
      </c>
      <c r="L41" s="177">
        <v>1</v>
      </c>
      <c r="M41" s="181"/>
      <c r="N41" s="181"/>
      <c r="O41" s="181"/>
      <c r="P41" s="181">
        <f t="shared" si="1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29" t="s">
        <v>419</v>
      </c>
      <c r="G45" s="146" t="s">
        <v>74</v>
      </c>
      <c r="H45" s="187">
        <f t="shared" si="9"/>
        <v>0</v>
      </c>
      <c r="I45" s="187">
        <f t="shared" si="7"/>
        <v>0</v>
      </c>
      <c r="J45" s="187">
        <f t="shared" si="10"/>
        <v>0</v>
      </c>
      <c r="K45" s="187">
        <f t="shared" si="8"/>
        <v>0</v>
      </c>
      <c r="L45" s="184">
        <v>1</v>
      </c>
      <c r="P45" s="146">
        <f t="shared" si="1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420</v>
      </c>
      <c r="G46" s="129" t="s">
        <v>74</v>
      </c>
      <c r="H46" s="122">
        <v>3</v>
      </c>
      <c r="I46" s="122">
        <f t="shared" si="7"/>
        <v>0</v>
      </c>
      <c r="J46" s="122">
        <f t="shared" si="10"/>
        <v>0</v>
      </c>
      <c r="K46" s="122">
        <f t="shared" si="8"/>
        <v>0</v>
      </c>
      <c r="L46" s="123">
        <f t="shared" ref="L46:L62" si="12">IF($E46="ne","-",H46+I46+J46+K46)</f>
        <v>3</v>
      </c>
      <c r="P46" s="129">
        <f t="shared" si="1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421</v>
      </c>
      <c r="G47" s="129" t="s">
        <v>74</v>
      </c>
      <c r="H47" s="122">
        <f>IF($E47="ne","-",)</f>
        <v>0</v>
      </c>
      <c r="I47" s="122">
        <f t="shared" si="7"/>
        <v>0</v>
      </c>
      <c r="J47" s="122">
        <f t="shared" si="10"/>
        <v>0</v>
      </c>
      <c r="K47" s="122">
        <f t="shared" si="8"/>
        <v>0</v>
      </c>
      <c r="L47" s="123">
        <v>1</v>
      </c>
      <c r="P47" s="129">
        <f t="shared" si="1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421</v>
      </c>
      <c r="G48" s="129" t="s">
        <v>74</v>
      </c>
      <c r="H48" s="122">
        <f>IF($E48="ne","-",)</f>
        <v>0</v>
      </c>
      <c r="I48" s="122">
        <f t="shared" si="7"/>
        <v>0</v>
      </c>
      <c r="J48" s="122">
        <f t="shared" si="10"/>
        <v>0</v>
      </c>
      <c r="K48" s="122">
        <f t="shared" si="8"/>
        <v>0</v>
      </c>
      <c r="L48" s="123">
        <v>1</v>
      </c>
      <c r="P48" s="129">
        <f t="shared" si="1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422</v>
      </c>
      <c r="G49" s="129" t="s">
        <v>74</v>
      </c>
      <c r="H49" s="122">
        <v>3</v>
      </c>
      <c r="I49" s="122">
        <f t="shared" si="7"/>
        <v>0</v>
      </c>
      <c r="J49" s="122">
        <f t="shared" si="10"/>
        <v>0</v>
      </c>
      <c r="K49" s="122">
        <f t="shared" si="8"/>
        <v>0</v>
      </c>
      <c r="L49" s="123">
        <f t="shared" si="12"/>
        <v>3</v>
      </c>
      <c r="P49" s="129">
        <f t="shared" si="1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423</v>
      </c>
      <c r="G50" s="129" t="s">
        <v>74</v>
      </c>
      <c r="H50" s="122">
        <v>6</v>
      </c>
      <c r="I50" s="122">
        <f t="shared" si="7"/>
        <v>0</v>
      </c>
      <c r="J50" s="122">
        <f t="shared" si="10"/>
        <v>0</v>
      </c>
      <c r="K50" s="122">
        <f t="shared" si="8"/>
        <v>0</v>
      </c>
      <c r="L50" s="123">
        <f t="shared" si="12"/>
        <v>6</v>
      </c>
      <c r="P50" s="129">
        <f t="shared" si="1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424</v>
      </c>
      <c r="G51" s="129" t="s">
        <v>74</v>
      </c>
      <c r="H51" s="122">
        <f>IF($E51="ne","-",)</f>
        <v>0</v>
      </c>
      <c r="I51" s="122">
        <f t="shared" si="7"/>
        <v>0</v>
      </c>
      <c r="J51" s="122">
        <v>1</v>
      </c>
      <c r="K51" s="122">
        <v>1</v>
      </c>
      <c r="L51" s="123">
        <f t="shared" si="12"/>
        <v>2</v>
      </c>
      <c r="P51" s="129">
        <f t="shared" si="11"/>
        <v>0</v>
      </c>
    </row>
    <row r="52" spans="1:17" s="146" customFormat="1" ht="85.5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89" t="s">
        <v>425</v>
      </c>
      <c r="G52" s="146" t="s">
        <v>63</v>
      </c>
      <c r="H52" s="187">
        <f>IF($E52="ne","-",)</f>
        <v>0</v>
      </c>
      <c r="I52" s="187">
        <f t="shared" si="7"/>
        <v>0</v>
      </c>
      <c r="J52" s="187">
        <f t="shared" si="10"/>
        <v>0</v>
      </c>
      <c r="K52" s="187">
        <f t="shared" si="8"/>
        <v>0</v>
      </c>
      <c r="L52" s="184">
        <v>1</v>
      </c>
      <c r="P52" s="146">
        <f t="shared" si="1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426</v>
      </c>
      <c r="G53" s="129" t="s">
        <v>74</v>
      </c>
      <c r="H53" s="122">
        <f>IF($E53="ne","-",)</f>
        <v>0</v>
      </c>
      <c r="I53" s="122">
        <f t="shared" si="7"/>
        <v>0</v>
      </c>
      <c r="J53" s="122">
        <f t="shared" si="10"/>
        <v>0</v>
      </c>
      <c r="K53" s="122">
        <f t="shared" si="8"/>
        <v>0</v>
      </c>
      <c r="L53" s="123">
        <v>1</v>
      </c>
      <c r="P53" s="129">
        <f t="shared" si="1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161" t="s">
        <v>426</v>
      </c>
      <c r="G54" s="134" t="s">
        <v>74</v>
      </c>
      <c r="H54" s="137">
        <f>IF($E54="ne","-",)</f>
        <v>0</v>
      </c>
      <c r="I54" s="137">
        <f t="shared" si="7"/>
        <v>0</v>
      </c>
      <c r="J54" s="137">
        <f t="shared" si="10"/>
        <v>0</v>
      </c>
      <c r="K54" s="137">
        <f t="shared" si="8"/>
        <v>0</v>
      </c>
      <c r="L54" s="138">
        <v>1</v>
      </c>
      <c r="P54" s="134">
        <f t="shared" si="1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95" t="s">
        <v>427</v>
      </c>
      <c r="G55" s="129" t="s">
        <v>63</v>
      </c>
      <c r="H55" s="122">
        <v>13</v>
      </c>
      <c r="I55" s="122">
        <f t="shared" si="7"/>
        <v>0</v>
      </c>
      <c r="J55" s="122">
        <f t="shared" si="10"/>
        <v>0</v>
      </c>
      <c r="K55" s="122">
        <v>0</v>
      </c>
      <c r="L55" s="123">
        <f t="shared" si="12"/>
        <v>13</v>
      </c>
      <c r="P55" s="129">
        <f t="shared" si="1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428</v>
      </c>
      <c r="G56" s="129" t="s">
        <v>63</v>
      </c>
      <c r="H56" s="122">
        <v>6</v>
      </c>
      <c r="I56" s="122">
        <f t="shared" si="7"/>
        <v>0</v>
      </c>
      <c r="J56" s="122">
        <f t="shared" si="10"/>
        <v>0</v>
      </c>
      <c r="K56" s="122">
        <f t="shared" ref="K56:K64" si="13">IF($E56="ne","-",)</f>
        <v>0</v>
      </c>
      <c r="L56" s="123">
        <f t="shared" si="12"/>
        <v>6</v>
      </c>
      <c r="P56" s="129">
        <f t="shared" si="1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113</v>
      </c>
      <c r="F57" s="198"/>
      <c r="G57" s="134" t="s">
        <v>74</v>
      </c>
      <c r="H57" s="137" t="str">
        <f>IF($E57="ne","-",)</f>
        <v>-</v>
      </c>
      <c r="I57" s="137" t="str">
        <f t="shared" si="7"/>
        <v>-</v>
      </c>
      <c r="J57" s="137" t="str">
        <f t="shared" si="10"/>
        <v>-</v>
      </c>
      <c r="K57" s="137" t="str">
        <f t="shared" si="13"/>
        <v>-</v>
      </c>
      <c r="L57" s="138" t="str">
        <f t="shared" si="12"/>
        <v>-</v>
      </c>
      <c r="P57" s="134">
        <f t="shared" si="1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427</v>
      </c>
      <c r="G58" s="129" t="s">
        <v>63</v>
      </c>
      <c r="H58" s="122">
        <v>6</v>
      </c>
      <c r="I58" s="122">
        <f t="shared" si="7"/>
        <v>0</v>
      </c>
      <c r="J58" s="122">
        <f t="shared" si="10"/>
        <v>0</v>
      </c>
      <c r="K58" s="122">
        <f t="shared" si="13"/>
        <v>0</v>
      </c>
      <c r="L58" s="123">
        <f t="shared" si="12"/>
        <v>6</v>
      </c>
      <c r="P58" s="129">
        <f t="shared" si="1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161" t="s">
        <v>429</v>
      </c>
      <c r="G59" s="134" t="s">
        <v>63</v>
      </c>
      <c r="H59" s="137">
        <v>2</v>
      </c>
      <c r="I59" s="137">
        <f t="shared" si="7"/>
        <v>0</v>
      </c>
      <c r="J59" s="137">
        <f t="shared" si="10"/>
        <v>0</v>
      </c>
      <c r="K59" s="137">
        <f t="shared" si="13"/>
        <v>0</v>
      </c>
      <c r="L59" s="138">
        <f t="shared" si="12"/>
        <v>2</v>
      </c>
      <c r="O59" s="129"/>
      <c r="P59" s="129">
        <f t="shared" si="1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430</v>
      </c>
      <c r="G60" s="146" t="s">
        <v>74</v>
      </c>
      <c r="H60" s="187">
        <f t="shared" ref="H60:H65" si="14">IF($E60="ne","-",)</f>
        <v>0</v>
      </c>
      <c r="I60" s="187">
        <f t="shared" si="7"/>
        <v>0</v>
      </c>
      <c r="J60" s="187">
        <v>2</v>
      </c>
      <c r="K60" s="187">
        <f t="shared" si="13"/>
        <v>0</v>
      </c>
      <c r="L60" s="184">
        <f t="shared" si="12"/>
        <v>2</v>
      </c>
      <c r="M60" s="146"/>
      <c r="N60" s="146"/>
      <c r="O60" s="146"/>
      <c r="P60" s="146">
        <f t="shared" si="1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4"/>
        <v>0</v>
      </c>
      <c r="I61" s="122">
        <f t="shared" si="7"/>
        <v>0</v>
      </c>
      <c r="J61" s="122">
        <v>1</v>
      </c>
      <c r="K61" s="122">
        <f t="shared" si="13"/>
        <v>0</v>
      </c>
      <c r="L61" s="123">
        <f t="shared" si="12"/>
        <v>1</v>
      </c>
      <c r="P61" s="129">
        <f t="shared" si="1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4"/>
        <v>0</v>
      </c>
      <c r="I62" s="122">
        <f t="shared" si="7"/>
        <v>0</v>
      </c>
      <c r="J62" s="122">
        <v>1</v>
      </c>
      <c r="K62" s="122">
        <f t="shared" si="13"/>
        <v>0</v>
      </c>
      <c r="L62" s="123">
        <f t="shared" si="12"/>
        <v>1</v>
      </c>
      <c r="P62" s="129">
        <f t="shared" si="1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4"/>
        <v>0</v>
      </c>
      <c r="I63" s="122">
        <f t="shared" si="7"/>
        <v>0</v>
      </c>
      <c r="J63" s="122">
        <f>IF($E63="ne","-",)</f>
        <v>0</v>
      </c>
      <c r="K63" s="122">
        <f t="shared" si="13"/>
        <v>0</v>
      </c>
      <c r="L63" s="123">
        <v>1</v>
      </c>
      <c r="P63" s="129">
        <f t="shared" si="1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433</v>
      </c>
      <c r="G64" s="129" t="s">
        <v>74</v>
      </c>
      <c r="H64" s="122">
        <f t="shared" si="14"/>
        <v>0</v>
      </c>
      <c r="I64" s="122">
        <f t="shared" si="7"/>
        <v>0</v>
      </c>
      <c r="J64" s="122">
        <v>1</v>
      </c>
      <c r="K64" s="122">
        <f t="shared" si="13"/>
        <v>0</v>
      </c>
      <c r="L64" s="123">
        <f>IF($E64="ne","-",H64+I64+J64+K64)</f>
        <v>1</v>
      </c>
      <c r="P64" s="129">
        <f t="shared" si="1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434</v>
      </c>
      <c r="G65" s="129" t="s">
        <v>74</v>
      </c>
      <c r="H65" s="122">
        <f t="shared" si="14"/>
        <v>0</v>
      </c>
      <c r="I65" s="122">
        <f t="shared" si="7"/>
        <v>0</v>
      </c>
      <c r="J65" s="122">
        <f>IF($E65="ne","-",)</f>
        <v>0</v>
      </c>
      <c r="K65" s="122">
        <v>1</v>
      </c>
      <c r="L65" s="123">
        <f>IF($E65="ne","-",H65+I65+J65+K65)</f>
        <v>1</v>
      </c>
      <c r="P65" s="129">
        <f t="shared" si="1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436</v>
      </c>
      <c r="G67" s="129" t="s">
        <v>74</v>
      </c>
      <c r="H67" s="122">
        <v>0</v>
      </c>
      <c r="I67" s="122">
        <f t="shared" si="7"/>
        <v>0</v>
      </c>
      <c r="J67" s="122">
        <v>1</v>
      </c>
      <c r="K67" s="122">
        <f>IF($E67="ne","-",)</f>
        <v>0</v>
      </c>
      <c r="L67" s="123">
        <f>IF($E67="ne","-",H67+I67+J67+K67)</f>
        <v>1</v>
      </c>
      <c r="P67" s="129">
        <f t="shared" si="1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437</v>
      </c>
      <c r="G68" s="129" t="s">
        <v>74</v>
      </c>
      <c r="H68" s="129">
        <v>0</v>
      </c>
      <c r="I68" s="129">
        <v>0</v>
      </c>
      <c r="J68" s="122">
        <v>2</v>
      </c>
      <c r="K68" s="129">
        <v>0</v>
      </c>
      <c r="L68" s="123">
        <f>IF($E68="ne","-",H68+I68+J68+K68)</f>
        <v>2</v>
      </c>
      <c r="P68" s="129">
        <f t="shared" si="1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438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61" t="s">
        <v>439</v>
      </c>
      <c r="G71" s="129" t="s">
        <v>74</v>
      </c>
      <c r="H71" s="122">
        <v>1</v>
      </c>
      <c r="I71" s="122">
        <f t="shared" ref="I71:K72" si="15">IF($E71="ne","-",)</f>
        <v>0</v>
      </c>
      <c r="J71" s="122">
        <f t="shared" si="15"/>
        <v>0</v>
      </c>
      <c r="K71" s="122">
        <f t="shared" si="15"/>
        <v>0</v>
      </c>
      <c r="L71" s="123">
        <f>IF($E71="ne","-",H71+I71+J71+K71)</f>
        <v>1</v>
      </c>
      <c r="P71" s="129">
        <f t="shared" si="1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61" t="s">
        <v>439</v>
      </c>
      <c r="G72" s="129" t="s">
        <v>74</v>
      </c>
      <c r="H72" s="122">
        <v>1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f>IF($E72="ne","-",H72+I72+J72+K72)</f>
        <v>1</v>
      </c>
      <c r="P72" s="129">
        <f t="shared" si="1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61" t="s">
        <v>440</v>
      </c>
      <c r="G73" s="129" t="s">
        <v>74</v>
      </c>
      <c r="H73" s="122">
        <v>0</v>
      </c>
      <c r="I73" s="122">
        <f t="shared" ref="I73:J86" si="16">IF($E73="ne","-",)</f>
        <v>0</v>
      </c>
      <c r="J73" s="122">
        <f t="shared" si="16"/>
        <v>0</v>
      </c>
      <c r="K73" s="122">
        <v>0</v>
      </c>
      <c r="L73" s="123">
        <v>1</v>
      </c>
      <c r="P73" s="129">
        <f t="shared" si="1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v>1</v>
      </c>
      <c r="I74" s="137">
        <f t="shared" si="16"/>
        <v>0</v>
      </c>
      <c r="J74" s="137">
        <f t="shared" si="16"/>
        <v>0</v>
      </c>
      <c r="K74" s="137">
        <f>IF($E74="ne","-",)</f>
        <v>0</v>
      </c>
      <c r="L74" s="138">
        <f>IF($E74="ne","-",H74+I74+J74+K74)</f>
        <v>1</v>
      </c>
      <c r="P74" s="134">
        <f t="shared" si="1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442</v>
      </c>
      <c r="G75" s="129" t="s">
        <v>74</v>
      </c>
      <c r="H75" s="122">
        <v>0</v>
      </c>
      <c r="I75" s="122">
        <f t="shared" si="16"/>
        <v>0</v>
      </c>
      <c r="J75" s="122">
        <f t="shared" si="16"/>
        <v>0</v>
      </c>
      <c r="K75" s="122">
        <v>0</v>
      </c>
      <c r="L75" s="123">
        <v>1</v>
      </c>
      <c r="P75" s="129">
        <f t="shared" si="1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443</v>
      </c>
      <c r="G76" s="129" t="s">
        <v>74</v>
      </c>
      <c r="H76" s="122">
        <f>IF($E76="ne","-",)</f>
        <v>0</v>
      </c>
      <c r="I76" s="122">
        <f t="shared" si="16"/>
        <v>0</v>
      </c>
      <c r="J76" s="122">
        <f t="shared" si="16"/>
        <v>0</v>
      </c>
      <c r="K76" s="122">
        <f t="shared" ref="K76:K86" si="17">IF($E76="ne","-",)</f>
        <v>0</v>
      </c>
      <c r="L76" s="123">
        <v>1</v>
      </c>
      <c r="P76" s="129">
        <f t="shared" ref="P76:P87" si="18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427</v>
      </c>
      <c r="G77" s="134" t="s">
        <v>74</v>
      </c>
      <c r="H77" s="137">
        <v>1</v>
      </c>
      <c r="I77" s="137">
        <f t="shared" si="16"/>
        <v>0</v>
      </c>
      <c r="J77" s="137">
        <f t="shared" si="16"/>
        <v>0</v>
      </c>
      <c r="K77" s="137">
        <f t="shared" si="17"/>
        <v>0</v>
      </c>
      <c r="L77" s="138">
        <f>IF($E77="ne","-",H77+I77+J77+K77)</f>
        <v>1</v>
      </c>
      <c r="P77" s="134">
        <f t="shared" si="18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444</v>
      </c>
      <c r="G78" s="129" t="s">
        <v>74</v>
      </c>
      <c r="H78" s="122">
        <f t="shared" ref="H78:H86" si="19">IF($E78="ne","-",)</f>
        <v>0</v>
      </c>
      <c r="I78" s="122">
        <f t="shared" si="16"/>
        <v>0</v>
      </c>
      <c r="J78" s="122">
        <f t="shared" si="16"/>
        <v>0</v>
      </c>
      <c r="K78" s="122">
        <f t="shared" si="17"/>
        <v>0</v>
      </c>
      <c r="L78" s="123">
        <v>1</v>
      </c>
      <c r="P78" s="129">
        <f t="shared" si="18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445</v>
      </c>
      <c r="G79" s="129" t="s">
        <v>74</v>
      </c>
      <c r="H79" s="122">
        <f t="shared" si="19"/>
        <v>0</v>
      </c>
      <c r="I79" s="122">
        <f t="shared" si="16"/>
        <v>0</v>
      </c>
      <c r="J79" s="122">
        <f t="shared" si="16"/>
        <v>0</v>
      </c>
      <c r="K79" s="122">
        <f t="shared" si="17"/>
        <v>0</v>
      </c>
      <c r="L79" s="123">
        <v>1</v>
      </c>
      <c r="P79" s="129">
        <f t="shared" si="18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9"/>
        <v>0</v>
      </c>
      <c r="I80" s="137">
        <f t="shared" si="16"/>
        <v>0</v>
      </c>
      <c r="J80" s="137">
        <f t="shared" si="16"/>
        <v>0</v>
      </c>
      <c r="K80" s="137">
        <f t="shared" si="17"/>
        <v>0</v>
      </c>
      <c r="L80" s="138">
        <v>1</v>
      </c>
      <c r="P80" s="134">
        <f t="shared" si="18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446</v>
      </c>
      <c r="G81" s="129" t="s">
        <v>74</v>
      </c>
      <c r="H81" s="122">
        <f t="shared" si="19"/>
        <v>0</v>
      </c>
      <c r="I81" s="122">
        <f t="shared" si="16"/>
        <v>0</v>
      </c>
      <c r="J81" s="122">
        <f t="shared" si="16"/>
        <v>0</v>
      </c>
      <c r="K81" s="122">
        <f t="shared" si="17"/>
        <v>0</v>
      </c>
      <c r="L81" s="123">
        <v>1</v>
      </c>
      <c r="P81" s="129">
        <f t="shared" si="18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19"/>
        <v>-</v>
      </c>
      <c r="I82" s="122" t="str">
        <f t="shared" si="16"/>
        <v>-</v>
      </c>
      <c r="J82" s="122" t="str">
        <f t="shared" si="16"/>
        <v>-</v>
      </c>
      <c r="K82" s="122" t="str">
        <f t="shared" si="17"/>
        <v>-</v>
      </c>
      <c r="L82" s="123" t="str">
        <f>IF($E82="ne","-",H82+I82+J82+K82)</f>
        <v>-</v>
      </c>
      <c r="P82" s="129">
        <f t="shared" si="18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19"/>
        <v>0</v>
      </c>
      <c r="I83" s="137">
        <f t="shared" si="16"/>
        <v>0</v>
      </c>
      <c r="J83" s="137">
        <f t="shared" si="16"/>
        <v>0</v>
      </c>
      <c r="K83" s="137">
        <f t="shared" si="17"/>
        <v>0</v>
      </c>
      <c r="L83" s="138">
        <v>1</v>
      </c>
      <c r="P83" s="134">
        <f t="shared" si="18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447</v>
      </c>
      <c r="G84" s="134" t="s">
        <v>74</v>
      </c>
      <c r="H84" s="137">
        <f t="shared" si="19"/>
        <v>0</v>
      </c>
      <c r="I84" s="137">
        <f t="shared" si="16"/>
        <v>0</v>
      </c>
      <c r="J84" s="137">
        <f t="shared" si="16"/>
        <v>0</v>
      </c>
      <c r="K84" s="137">
        <f t="shared" si="17"/>
        <v>0</v>
      </c>
      <c r="L84" s="138">
        <v>1</v>
      </c>
      <c r="P84" s="134">
        <f t="shared" si="18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448</v>
      </c>
      <c r="G85" s="155" t="s">
        <v>74</v>
      </c>
      <c r="H85" s="156">
        <f t="shared" si="19"/>
        <v>0</v>
      </c>
      <c r="I85" s="156">
        <f t="shared" si="16"/>
        <v>0</v>
      </c>
      <c r="J85" s="156">
        <f t="shared" si="16"/>
        <v>0</v>
      </c>
      <c r="K85" s="156">
        <f t="shared" si="17"/>
        <v>0</v>
      </c>
      <c r="L85" s="138">
        <v>1</v>
      </c>
      <c r="P85" s="155">
        <f t="shared" si="18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449</v>
      </c>
      <c r="G86" s="155" t="s">
        <v>74</v>
      </c>
      <c r="H86" s="155">
        <f t="shared" si="19"/>
        <v>0</v>
      </c>
      <c r="I86" s="155">
        <f t="shared" si="16"/>
        <v>0</v>
      </c>
      <c r="J86" s="155">
        <f t="shared" si="16"/>
        <v>0</v>
      </c>
      <c r="K86" s="155">
        <f t="shared" si="17"/>
        <v>0</v>
      </c>
      <c r="L86" s="160">
        <v>1</v>
      </c>
      <c r="M86" s="155"/>
      <c r="N86" s="155"/>
      <c r="O86" s="155"/>
      <c r="P86" s="155">
        <f t="shared" si="18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8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M2" xr:uid="{B02B0A38-8D86-4EC5-97E5-74611AC52359}"/>
  <mergeCells count="3">
    <mergeCell ref="H1:L1"/>
    <mergeCell ref="A98:O98"/>
    <mergeCell ref="A102:O102"/>
  </mergeCells>
  <phoneticPr fontId="3" type="noConversion"/>
  <conditionalFormatting sqref="E4:E23 E26:E27">
    <cfRule type="cellIs" dxfId="146" priority="51" operator="equal">
      <formula>"ne"</formula>
    </cfRule>
  </conditionalFormatting>
  <conditionalFormatting sqref="E29:E43">
    <cfRule type="cellIs" dxfId="145" priority="44" operator="equal">
      <formula>"ne"</formula>
    </cfRule>
  </conditionalFormatting>
  <conditionalFormatting sqref="E45:E67">
    <cfRule type="cellIs" dxfId="144" priority="69" operator="equal">
      <formula>"ne"</formula>
    </cfRule>
  </conditionalFormatting>
  <conditionalFormatting sqref="E69 E71:E91">
    <cfRule type="cellIs" dxfId="143" priority="25" operator="equal">
      <formula>"ne"</formula>
    </cfRule>
  </conditionalFormatting>
  <conditionalFormatting sqref="E96">
    <cfRule type="cellIs" dxfId="142" priority="28" operator="equal">
      <formula>"ne"</formula>
    </cfRule>
  </conditionalFormatting>
  <conditionalFormatting sqref="H3:K23 H26:K27">
    <cfRule type="cellIs" dxfId="141" priority="48" operator="between">
      <formula>0.0001</formula>
      <formula>1000</formula>
    </cfRule>
    <cfRule type="cellIs" dxfId="140" priority="49" operator="equal">
      <formula>"-"</formula>
    </cfRule>
  </conditionalFormatting>
  <conditionalFormatting sqref="H29:K43">
    <cfRule type="cellIs" dxfId="139" priority="41" operator="between">
      <formula>0.0001</formula>
      <formula>1000</formula>
    </cfRule>
    <cfRule type="cellIs" dxfId="138" priority="42" operator="equal">
      <formula>"-"</formula>
    </cfRule>
  </conditionalFormatting>
  <conditionalFormatting sqref="H45:K67">
    <cfRule type="cellIs" dxfId="137" priority="66" operator="between">
      <formula>0.0001</formula>
      <formula>1000</formula>
    </cfRule>
    <cfRule type="cellIs" dxfId="136" priority="67" operator="equal">
      <formula>"-"</formula>
    </cfRule>
  </conditionalFormatting>
  <conditionalFormatting sqref="H69:K69 H71:K90">
    <cfRule type="cellIs" dxfId="135" priority="21" operator="between">
      <formula>0.0001</formula>
      <formula>1000</formula>
    </cfRule>
    <cfRule type="cellIs" dxfId="134" priority="22" operator="equal">
      <formula>"-"</formula>
    </cfRule>
  </conditionalFormatting>
  <conditionalFormatting sqref="H96:K96">
    <cfRule type="cellIs" dxfId="133" priority="26" operator="between">
      <formula>0.0001</formula>
      <formula>1000</formula>
    </cfRule>
    <cfRule type="cellIs" dxfId="132" priority="27" operator="equal">
      <formula>"-"</formula>
    </cfRule>
  </conditionalFormatting>
  <conditionalFormatting sqref="J68">
    <cfRule type="cellIs" dxfId="131" priority="61" operator="between">
      <formula>0.0001</formula>
      <formula>1000</formula>
    </cfRule>
    <cfRule type="cellIs" dxfId="130" priority="62" operator="equal">
      <formula>"-"</formula>
    </cfRule>
  </conditionalFormatting>
  <conditionalFormatting sqref="L3:L15 L17:L22">
    <cfRule type="cellIs" dxfId="129" priority="68" operator="equal">
      <formula>0</formula>
    </cfRule>
  </conditionalFormatting>
  <conditionalFormatting sqref="L23 L26">
    <cfRule type="cellIs" dxfId="128" priority="50" operator="equal">
      <formula>0</formula>
    </cfRule>
  </conditionalFormatting>
  <conditionalFormatting sqref="L29:L42">
    <cfRule type="cellIs" dxfId="127" priority="43" operator="equal">
      <formula>0</formula>
    </cfRule>
  </conditionalFormatting>
  <conditionalFormatting sqref="L45:L69 L71:L88">
    <cfRule type="cellIs" dxfId="126" priority="37" operator="equal">
      <formula>0</formula>
    </cfRule>
  </conditionalFormatting>
  <conditionalFormatting sqref="E70">
    <cfRule type="cellIs" dxfId="125" priority="20" operator="equal">
      <formula>"ne"</formula>
    </cfRule>
  </conditionalFormatting>
  <conditionalFormatting sqref="H70:K70">
    <cfRule type="cellIs" dxfId="124" priority="18" operator="between">
      <formula>0.0001</formula>
      <formula>1000</formula>
    </cfRule>
    <cfRule type="cellIs" dxfId="123" priority="19" operator="equal">
      <formula>"-"</formula>
    </cfRule>
  </conditionalFormatting>
  <conditionalFormatting sqref="L70">
    <cfRule type="cellIs" dxfId="122" priority="17" operator="equal">
      <formula>0</formula>
    </cfRule>
  </conditionalFormatting>
  <conditionalFormatting sqref="E25">
    <cfRule type="cellIs" dxfId="121" priority="10" operator="equal">
      <formula>"ne"</formula>
    </cfRule>
  </conditionalFormatting>
  <conditionalFormatting sqref="H25:K25">
    <cfRule type="cellIs" dxfId="120" priority="8" operator="between">
      <formula>0.0001</formula>
      <formula>1000</formula>
    </cfRule>
    <cfRule type="cellIs" dxfId="119" priority="9" operator="equal">
      <formula>"-"</formula>
    </cfRule>
  </conditionalFormatting>
  <conditionalFormatting sqref="E24:E25">
    <cfRule type="cellIs" dxfId="118" priority="7" operator="equal">
      <formula>"ne"</formula>
    </cfRule>
  </conditionalFormatting>
  <conditionalFormatting sqref="H24:K25">
    <cfRule type="cellIs" dxfId="117" priority="5" operator="between">
      <formula>0.0001</formula>
      <formula>1000</formula>
    </cfRule>
    <cfRule type="cellIs" dxfId="116" priority="6" operator="equal">
      <formula>"-"</formula>
    </cfRule>
  </conditionalFormatting>
  <conditionalFormatting sqref="L24:L25">
    <cfRule type="cellIs" dxfId="115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6B4F6-9152-4538-BD55-B410255916D7}">
  <sheetPr>
    <tabColor theme="9" tint="0.39997558519241921"/>
  </sheetPr>
  <dimension ref="A1:Q105"/>
  <sheetViews>
    <sheetView zoomScale="80" zoomScaleNormal="80" workbookViewId="0">
      <pane ySplit="2" topLeftCell="A64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3.85546875" style="129" customWidth="1"/>
    <col min="2" max="2" width="13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56.140625" style="129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46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520</v>
      </c>
      <c r="G3" s="129" t="s">
        <v>103</v>
      </c>
      <c r="H3" s="122">
        <f>5+213+231+24+(14+14+5+11+11+11+11+17+17+12+12+11+7+24)+81+20+23</f>
        <v>774</v>
      </c>
      <c r="I3" s="122">
        <f>IF($E3="ne","-",)</f>
        <v>0</v>
      </c>
      <c r="J3" s="122">
        <f>IF($E3="ne","-",)</f>
        <v>0</v>
      </c>
      <c r="K3" s="122">
        <f>16+23+10</f>
        <v>49</v>
      </c>
      <c r="L3" s="123">
        <f t="shared" ref="L3:L21" si="0">IF($E3="ne","-",H3+I3+J3+K3)</f>
        <v>823</v>
      </c>
      <c r="M3" s="124"/>
      <c r="N3" s="124"/>
      <c r="O3" s="124"/>
      <c r="P3" s="124">
        <f t="shared" ref="P3:P39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521</v>
      </c>
      <c r="G4" s="129" t="s">
        <v>103</v>
      </c>
      <c r="H4" s="122">
        <f>39+91+114</f>
        <v>244</v>
      </c>
      <c r="I4" s="122">
        <f>8+112+6+6+2+(15+4+4+11)</f>
        <v>168</v>
      </c>
      <c r="J4" s="122">
        <f>8+9+15+14+7+8</f>
        <v>61</v>
      </c>
      <c r="K4" s="122">
        <f>IF($E4="ne","-",)</f>
        <v>0</v>
      </c>
      <c r="L4" s="123">
        <f t="shared" si="0"/>
        <v>473</v>
      </c>
      <c r="M4" s="130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31"/>
      <c r="G5" s="129" t="s">
        <v>103</v>
      </c>
      <c r="H5" s="122"/>
      <c r="I5" s="122"/>
      <c r="J5" s="122"/>
      <c r="K5" s="122"/>
      <c r="L5" s="123" t="str">
        <f t="shared" si="0"/>
        <v>-</v>
      </c>
      <c r="M5" s="130"/>
      <c r="N5" s="124"/>
      <c r="O5" s="124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F6" s="131"/>
      <c r="G6" s="129" t="s">
        <v>103</v>
      </c>
      <c r="H6" s="122">
        <v>0</v>
      </c>
      <c r="I6" s="122" t="str">
        <f t="shared" ref="I6:K8" si="2">IF($E6="ne","-",)</f>
        <v>-</v>
      </c>
      <c r="J6" s="122" t="str">
        <f t="shared" si="2"/>
        <v>-</v>
      </c>
      <c r="K6" s="122" t="str">
        <f t="shared" si="2"/>
        <v>-</v>
      </c>
      <c r="L6" s="123" t="str">
        <f t="shared" si="0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31"/>
      <c r="G7" s="129" t="s">
        <v>103</v>
      </c>
      <c r="H7" s="122">
        <v>0</v>
      </c>
      <c r="I7" s="122" t="str">
        <f t="shared" si="2"/>
        <v>-</v>
      </c>
      <c r="J7" s="122" t="str">
        <f t="shared" si="2"/>
        <v>-</v>
      </c>
      <c r="K7" s="122" t="str">
        <f t="shared" si="2"/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31"/>
      <c r="G8" s="129" t="s">
        <v>103</v>
      </c>
      <c r="H8" s="122">
        <v>0</v>
      </c>
      <c r="I8" s="122" t="str">
        <f t="shared" si="2"/>
        <v>-</v>
      </c>
      <c r="J8" s="122" t="str">
        <f t="shared" si="2"/>
        <v>-</v>
      </c>
      <c r="K8" s="122" t="str">
        <f t="shared" si="2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522</v>
      </c>
      <c r="G9" s="129" t="s">
        <v>103</v>
      </c>
      <c r="H9" s="122">
        <f t="shared" ref="H9:J18" si="3">IF($E9="ne","-",)</f>
        <v>0</v>
      </c>
      <c r="I9" s="122">
        <f t="shared" si="3"/>
        <v>0</v>
      </c>
      <c r="J9" s="122">
        <f t="shared" si="3"/>
        <v>0</v>
      </c>
      <c r="K9" s="122">
        <f>30+5+7</f>
        <v>42</v>
      </c>
      <c r="L9" s="123">
        <f t="shared" si="0"/>
        <v>42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31"/>
      <c r="G10" s="129" t="s">
        <v>103</v>
      </c>
      <c r="H10" s="122" t="str">
        <f t="shared" si="3"/>
        <v>-</v>
      </c>
      <c r="I10" s="122" t="str">
        <f t="shared" si="3"/>
        <v>-</v>
      </c>
      <c r="J10" s="122" t="str">
        <f t="shared" si="3"/>
        <v>-</v>
      </c>
      <c r="K10" s="122" t="str">
        <f t="shared" ref="K10:K18" si="4"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113</v>
      </c>
      <c r="F11" s="131"/>
      <c r="G11" s="129" t="s">
        <v>103</v>
      </c>
      <c r="H11" s="122" t="str">
        <f t="shared" si="3"/>
        <v>-</v>
      </c>
      <c r="I11" s="122" t="str">
        <f t="shared" si="3"/>
        <v>-</v>
      </c>
      <c r="J11" s="122" t="str">
        <f t="shared" si="3"/>
        <v>-</v>
      </c>
      <c r="K11" s="122" t="str">
        <f t="shared" si="4"/>
        <v>-</v>
      </c>
      <c r="L11" s="123" t="str">
        <f t="shared" si="0"/>
        <v>-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31"/>
      <c r="G12" s="129" t="s">
        <v>74</v>
      </c>
      <c r="H12" s="122" t="str">
        <f t="shared" si="3"/>
        <v>-</v>
      </c>
      <c r="I12" s="122" t="str">
        <f t="shared" si="3"/>
        <v>-</v>
      </c>
      <c r="J12" s="122" t="str">
        <f t="shared" si="3"/>
        <v>-</v>
      </c>
      <c r="K12" s="122" t="str">
        <f t="shared" si="4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523</v>
      </c>
      <c r="G13" s="129" t="s">
        <v>74</v>
      </c>
      <c r="H13" s="122">
        <v>0</v>
      </c>
      <c r="I13" s="122">
        <f t="shared" si="3"/>
        <v>0</v>
      </c>
      <c r="J13" s="122">
        <f t="shared" si="3"/>
        <v>0</v>
      </c>
      <c r="K13" s="122">
        <f t="shared" si="4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31"/>
      <c r="G14" s="129" t="s">
        <v>103</v>
      </c>
      <c r="H14" s="122" t="str">
        <f t="shared" si="3"/>
        <v>-</v>
      </c>
      <c r="I14" s="122" t="str">
        <f t="shared" si="3"/>
        <v>-</v>
      </c>
      <c r="J14" s="122" t="str">
        <f t="shared" si="3"/>
        <v>-</v>
      </c>
      <c r="K14" s="122" t="str">
        <f t="shared" si="4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31"/>
      <c r="G15" s="129" t="s">
        <v>103</v>
      </c>
      <c r="H15" s="122" t="str">
        <f t="shared" si="3"/>
        <v>-</v>
      </c>
      <c r="I15" s="122" t="str">
        <f t="shared" si="3"/>
        <v>-</v>
      </c>
      <c r="J15" s="122" t="str">
        <f t="shared" si="3"/>
        <v>-</v>
      </c>
      <c r="K15" s="122" t="str">
        <f t="shared" si="4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3"/>
        <v>-</v>
      </c>
      <c r="I16" s="137" t="str">
        <f t="shared" si="3"/>
        <v>-</v>
      </c>
      <c r="J16" s="137" t="str">
        <f t="shared" si="3"/>
        <v>-</v>
      </c>
      <c r="K16" s="137" t="str">
        <f t="shared" si="4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314</v>
      </c>
      <c r="D17" s="143" t="s">
        <v>132</v>
      </c>
      <c r="E17" s="144" t="s">
        <v>113</v>
      </c>
      <c r="F17" s="131"/>
      <c r="G17" s="146" t="s">
        <v>63</v>
      </c>
      <c r="H17" s="122" t="str">
        <f t="shared" si="3"/>
        <v>-</v>
      </c>
      <c r="I17" s="122" t="str">
        <f t="shared" si="3"/>
        <v>-</v>
      </c>
      <c r="J17" s="122" t="str">
        <f t="shared" si="3"/>
        <v>-</v>
      </c>
      <c r="K17" s="122" t="str">
        <f t="shared" si="4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3"/>
        <v>-</v>
      </c>
      <c r="I18" s="137" t="str">
        <f t="shared" si="3"/>
        <v>-</v>
      </c>
      <c r="J18" s="137" t="str">
        <f t="shared" si="3"/>
        <v>-</v>
      </c>
      <c r="K18" s="137" t="str">
        <f t="shared" si="4"/>
        <v>-</v>
      </c>
      <c r="L18" s="138" t="str">
        <f t="shared" si="0"/>
        <v>-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31"/>
      <c r="G19" s="146" t="s">
        <v>63</v>
      </c>
      <c r="H19" s="122" t="str">
        <f t="shared" ref="H19:I23" si="5">IF($E19="ne","-",)</f>
        <v>-</v>
      </c>
      <c r="I19" s="122" t="str">
        <f t="shared" si="5"/>
        <v>-</v>
      </c>
      <c r="J19" s="122" t="str">
        <f t="shared" ref="J19:K19" si="6">IF($E19="ne","-",)</f>
        <v>-</v>
      </c>
      <c r="K19" s="122" t="str">
        <f t="shared" si="6"/>
        <v>-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F20" s="131"/>
      <c r="G20" s="129" t="s">
        <v>63</v>
      </c>
      <c r="H20" s="122" t="str">
        <f t="shared" si="5"/>
        <v>-</v>
      </c>
      <c r="I20" s="122" t="str">
        <f t="shared" si="5"/>
        <v>-</v>
      </c>
      <c r="J20" s="122" t="str">
        <f t="shared" ref="J20:K23" si="7">IF($E20="ne","-",)</f>
        <v>-</v>
      </c>
      <c r="K20" s="122" t="str">
        <f t="shared" si="7"/>
        <v>-</v>
      </c>
      <c r="L20" s="123" t="str">
        <f t="shared" si="0"/>
        <v>-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si="5"/>
        <v>-</v>
      </c>
      <c r="I21" s="122" t="str">
        <f t="shared" si="5"/>
        <v>-</v>
      </c>
      <c r="J21" s="122" t="str">
        <f t="shared" si="7"/>
        <v>-</v>
      </c>
      <c r="K21" s="122" t="str">
        <f t="shared" si="7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1" t="s">
        <v>524</v>
      </c>
      <c r="G22" s="155" t="s">
        <v>74</v>
      </c>
      <c r="H22" s="156">
        <f t="shared" si="5"/>
        <v>0</v>
      </c>
      <c r="I22" s="156">
        <f t="shared" si="5"/>
        <v>0</v>
      </c>
      <c r="J22" s="156">
        <f t="shared" si="7"/>
        <v>0</v>
      </c>
      <c r="K22" s="156">
        <f t="shared" si="7"/>
        <v>0</v>
      </c>
      <c r="L22" s="138">
        <v>1</v>
      </c>
      <c r="M22" s="157"/>
      <c r="N22" s="139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525</v>
      </c>
      <c r="G23" s="155" t="s">
        <v>74</v>
      </c>
      <c r="H23" s="156">
        <f t="shared" si="5"/>
        <v>0</v>
      </c>
      <c r="I23" s="156">
        <f t="shared" si="5"/>
        <v>0</v>
      </c>
      <c r="J23" s="156">
        <f t="shared" si="7"/>
        <v>0</v>
      </c>
      <c r="K23" s="156">
        <f t="shared" si="7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M28" s="175"/>
      <c r="N28" s="175"/>
      <c r="O28" s="175"/>
      <c r="P28" s="175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526</v>
      </c>
      <c r="G29" s="146" t="s">
        <v>74</v>
      </c>
      <c r="H29" s="187">
        <f t="shared" ref="H29:K34" si="8">IF($E29="ne","-",)</f>
        <v>0</v>
      </c>
      <c r="I29" s="187">
        <f t="shared" si="8"/>
        <v>0</v>
      </c>
      <c r="J29" s="187">
        <f t="shared" si="8"/>
        <v>0</v>
      </c>
      <c r="K29" s="187">
        <f t="shared" si="8"/>
        <v>0</v>
      </c>
      <c r="L29" s="184">
        <v>1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62</v>
      </c>
      <c r="F30" s="131" t="s">
        <v>526</v>
      </c>
      <c r="G30" s="129" t="s">
        <v>74</v>
      </c>
      <c r="H30" s="122">
        <f t="shared" si="8"/>
        <v>0</v>
      </c>
      <c r="I30" s="122">
        <f t="shared" si="8"/>
        <v>0</v>
      </c>
      <c r="J30" s="122">
        <f t="shared" si="8"/>
        <v>0</v>
      </c>
      <c r="K30" s="122">
        <f t="shared" si="8"/>
        <v>0</v>
      </c>
      <c r="L30" s="123">
        <v>1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527</v>
      </c>
      <c r="G31" s="129" t="s">
        <v>74</v>
      </c>
      <c r="H31" s="122">
        <f t="shared" si="8"/>
        <v>0</v>
      </c>
      <c r="I31" s="122">
        <f t="shared" si="8"/>
        <v>0</v>
      </c>
      <c r="J31" s="122">
        <f t="shared" si="8"/>
        <v>0</v>
      </c>
      <c r="K31" s="122">
        <f t="shared" si="8"/>
        <v>0</v>
      </c>
      <c r="L31" s="123">
        <v>1</v>
      </c>
      <c r="M31" s="175"/>
      <c r="N31" s="175"/>
      <c r="O31" s="175"/>
      <c r="P31" s="175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31"/>
      <c r="G32" s="129" t="s">
        <v>63</v>
      </c>
      <c r="H32" s="122" t="str">
        <f t="shared" si="8"/>
        <v>-</v>
      </c>
      <c r="I32" s="122" t="str">
        <f t="shared" si="8"/>
        <v>-</v>
      </c>
      <c r="J32" s="122" t="str">
        <f t="shared" si="8"/>
        <v>-</v>
      </c>
      <c r="K32" s="122" t="str">
        <f t="shared" si="8"/>
        <v>-</v>
      </c>
      <c r="L32" s="123" t="str">
        <f t="shared" ref="L32:L39" si="9">IF($E32="ne","-",H32+I32+J32+K32)</f>
        <v>-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31"/>
      <c r="G33" s="129" t="s">
        <v>63</v>
      </c>
      <c r="H33" s="122" t="str">
        <f t="shared" si="8"/>
        <v>-</v>
      </c>
      <c r="I33" s="122" t="str">
        <f t="shared" si="8"/>
        <v>-</v>
      </c>
      <c r="J33" s="122" t="str">
        <f t="shared" si="8"/>
        <v>-</v>
      </c>
      <c r="K33" s="122" t="str">
        <f t="shared" si="8"/>
        <v>-</v>
      </c>
      <c r="L33" s="123" t="str">
        <f t="shared" si="9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1" t="s">
        <v>528</v>
      </c>
      <c r="G34" s="134" t="s">
        <v>74</v>
      </c>
      <c r="H34" s="122">
        <f t="shared" si="8"/>
        <v>0</v>
      </c>
      <c r="I34" s="122">
        <f t="shared" si="8"/>
        <v>0</v>
      </c>
      <c r="J34" s="122">
        <f t="shared" si="8"/>
        <v>0</v>
      </c>
      <c r="K34" s="122">
        <f t="shared" si="8"/>
        <v>0</v>
      </c>
      <c r="L34" s="138">
        <v>1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F35" s="281"/>
      <c r="G35" s="155" t="s">
        <v>74</v>
      </c>
      <c r="H35" s="156" t="str">
        <f t="shared" ref="H35:K41" si="10">IF($E35="ne","-",)</f>
        <v>-</v>
      </c>
      <c r="I35" s="156" t="str">
        <f t="shared" si="10"/>
        <v>-</v>
      </c>
      <c r="J35" s="156" t="str">
        <f t="shared" si="10"/>
        <v>-</v>
      </c>
      <c r="K35" s="156" t="str">
        <f t="shared" si="10"/>
        <v>-</v>
      </c>
      <c r="L35" s="138" t="str">
        <f t="shared" si="9"/>
        <v>-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F36" s="131"/>
      <c r="G36" s="129" t="s">
        <v>103</v>
      </c>
      <c r="H36" s="122" t="str">
        <f t="shared" si="10"/>
        <v>-</v>
      </c>
      <c r="I36" s="122" t="str">
        <f t="shared" si="10"/>
        <v>-</v>
      </c>
      <c r="J36" s="122" t="str">
        <f t="shared" si="10"/>
        <v>-</v>
      </c>
      <c r="K36" s="122" t="str">
        <f t="shared" si="10"/>
        <v>-</v>
      </c>
      <c r="L36" s="123" t="str">
        <f t="shared" si="9"/>
        <v>-</v>
      </c>
      <c r="M36" s="175"/>
      <c r="N36" s="175"/>
      <c r="O36" s="175"/>
      <c r="P36" s="175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31"/>
      <c r="G37" s="129" t="s">
        <v>103</v>
      </c>
      <c r="H37" s="122" t="str">
        <f>IF($E37="ne","-",)</f>
        <v>-</v>
      </c>
      <c r="I37" s="122" t="str">
        <f t="shared" si="10"/>
        <v>-</v>
      </c>
      <c r="J37" s="122" t="str">
        <f t="shared" si="10"/>
        <v>-</v>
      </c>
      <c r="K37" s="122" t="str">
        <f t="shared" si="10"/>
        <v>-</v>
      </c>
      <c r="L37" s="123" t="str">
        <f t="shared" si="9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529</v>
      </c>
      <c r="G38" s="129" t="s">
        <v>103</v>
      </c>
      <c r="H38" s="122">
        <f t="shared" si="10"/>
        <v>0</v>
      </c>
      <c r="I38" s="122">
        <f>2*21+4*10+6*21+8*10+10*21+37*12</f>
        <v>942</v>
      </c>
      <c r="J38" s="122">
        <f t="shared" si="10"/>
        <v>0</v>
      </c>
      <c r="K38" s="122">
        <f t="shared" si="10"/>
        <v>0</v>
      </c>
      <c r="L38" s="123">
        <f t="shared" si="9"/>
        <v>942</v>
      </c>
      <c r="M38" s="286"/>
      <c r="N38" s="175"/>
      <c r="O38" s="175"/>
      <c r="P38" s="175">
        <f t="shared" si="1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225</v>
      </c>
      <c r="F39" s="287" t="s">
        <v>530</v>
      </c>
      <c r="G39" s="134" t="s">
        <v>103</v>
      </c>
      <c r="H39" s="137">
        <f t="shared" si="10"/>
        <v>0</v>
      </c>
      <c r="I39" s="137">
        <f t="shared" si="10"/>
        <v>0</v>
      </c>
      <c r="J39" s="137">
        <f t="shared" si="10"/>
        <v>0</v>
      </c>
      <c r="K39" s="137">
        <f t="shared" si="10"/>
        <v>0</v>
      </c>
      <c r="L39" s="138">
        <f t="shared" si="9"/>
        <v>0</v>
      </c>
      <c r="M39" s="178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288" t="s">
        <v>531</v>
      </c>
      <c r="G40" s="134" t="s">
        <v>74</v>
      </c>
      <c r="H40" s="156">
        <f t="shared" si="10"/>
        <v>0</v>
      </c>
      <c r="I40" s="156">
        <f t="shared" si="10"/>
        <v>0</v>
      </c>
      <c r="J40" s="156">
        <f t="shared" si="10"/>
        <v>0</v>
      </c>
      <c r="K40" s="156">
        <f t="shared" si="10"/>
        <v>0</v>
      </c>
      <c r="L40" s="138">
        <v>1</v>
      </c>
      <c r="M40" s="178"/>
      <c r="N40" s="178"/>
      <c r="O40" s="178"/>
      <c r="P40" s="178">
        <f t="shared" ref="P40:P75" si="11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532</v>
      </c>
      <c r="G41" s="155" t="s">
        <v>74</v>
      </c>
      <c r="H41" s="156">
        <f t="shared" si="10"/>
        <v>0</v>
      </c>
      <c r="I41" s="156">
        <f t="shared" si="10"/>
        <v>0</v>
      </c>
      <c r="J41" s="156">
        <f t="shared" si="10"/>
        <v>0</v>
      </c>
      <c r="K41" s="156">
        <f t="shared" si="10"/>
        <v>0</v>
      </c>
      <c r="L41" s="138">
        <v>1</v>
      </c>
      <c r="M41" s="181"/>
      <c r="N41" s="181"/>
      <c r="O41" s="181"/>
      <c r="P41" s="181">
        <f t="shared" si="1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533</v>
      </c>
      <c r="G45" s="146" t="s">
        <v>74</v>
      </c>
      <c r="H45" s="187">
        <f>IF($E45="ne","-",)</f>
        <v>0</v>
      </c>
      <c r="I45" s="187">
        <f>IF($E45="ne","-",)</f>
        <v>0</v>
      </c>
      <c r="J45" s="187">
        <f>IF($E45="ne","-",)</f>
        <v>0</v>
      </c>
      <c r="K45" s="187">
        <v>1</v>
      </c>
      <c r="L45" s="184">
        <f t="shared" ref="L45:L68" si="12">IF($E45="ne","-",H45+I45+J45+K45)</f>
        <v>1</v>
      </c>
      <c r="P45" s="146">
        <f t="shared" si="1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534</v>
      </c>
      <c r="G46" s="129" t="s">
        <v>74</v>
      </c>
      <c r="H46" s="122">
        <v>3</v>
      </c>
      <c r="I46" s="122">
        <v>1</v>
      </c>
      <c r="J46" s="122">
        <f>IF($E46="ne","-",)</f>
        <v>0</v>
      </c>
      <c r="K46" s="122">
        <f>IF($E46="ne","-",)</f>
        <v>0</v>
      </c>
      <c r="L46" s="123">
        <f t="shared" si="12"/>
        <v>4</v>
      </c>
      <c r="P46" s="129">
        <f t="shared" si="1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535</v>
      </c>
      <c r="G47" s="129" t="s">
        <v>74</v>
      </c>
      <c r="H47" s="122">
        <f>IF($E47="ne","-",)</f>
        <v>0</v>
      </c>
      <c r="I47" s="122">
        <f>IF($E47="ne","-",)</f>
        <v>0</v>
      </c>
      <c r="J47" s="122">
        <v>1</v>
      </c>
      <c r="K47" s="122">
        <f>IF($E47="ne","-",)</f>
        <v>0</v>
      </c>
      <c r="L47" s="123">
        <f t="shared" si="12"/>
        <v>1</v>
      </c>
      <c r="P47" s="129">
        <f t="shared" si="1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536</v>
      </c>
      <c r="G48" s="129" t="s">
        <v>74</v>
      </c>
      <c r="H48" s="122">
        <f>IF($E48="ne","-",)</f>
        <v>0</v>
      </c>
      <c r="I48" s="122">
        <f>IF($E48="ne","-",)</f>
        <v>0</v>
      </c>
      <c r="J48" s="122">
        <v>1</v>
      </c>
      <c r="K48" s="122">
        <v>1</v>
      </c>
      <c r="L48" s="123">
        <f t="shared" si="12"/>
        <v>2</v>
      </c>
      <c r="P48" s="129">
        <f t="shared" si="1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537</v>
      </c>
      <c r="G49" s="129" t="s">
        <v>74</v>
      </c>
      <c r="H49" s="122">
        <v>3</v>
      </c>
      <c r="I49" s="122">
        <v>3</v>
      </c>
      <c r="J49" s="122">
        <f>IF($E49="ne","-",)</f>
        <v>0</v>
      </c>
      <c r="K49" s="122">
        <f>IF($E49="ne","-",)</f>
        <v>0</v>
      </c>
      <c r="L49" s="123">
        <f t="shared" si="12"/>
        <v>6</v>
      </c>
      <c r="P49" s="129">
        <f t="shared" si="1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538</v>
      </c>
      <c r="G50" s="129" t="s">
        <v>74</v>
      </c>
      <c r="H50" s="122">
        <v>5</v>
      </c>
      <c r="I50" s="122">
        <f t="shared" ref="I50:I55" si="13">IF($E50="ne","-",)</f>
        <v>0</v>
      </c>
      <c r="J50" s="122">
        <v>4</v>
      </c>
      <c r="K50" s="122">
        <f>IF($E50="ne","-",)</f>
        <v>0</v>
      </c>
      <c r="L50" s="123">
        <f t="shared" si="12"/>
        <v>9</v>
      </c>
      <c r="P50" s="129">
        <f t="shared" si="1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539</v>
      </c>
      <c r="G51" s="129" t="s">
        <v>74</v>
      </c>
      <c r="H51" s="122">
        <f>IF($E51="ne","-",)</f>
        <v>0</v>
      </c>
      <c r="I51" s="122">
        <f t="shared" si="13"/>
        <v>0</v>
      </c>
      <c r="J51" s="122">
        <v>1</v>
      </c>
      <c r="K51" s="122">
        <v>1</v>
      </c>
      <c r="L51" s="123">
        <f t="shared" si="12"/>
        <v>2</v>
      </c>
      <c r="P51" s="129">
        <f t="shared" si="1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540</v>
      </c>
      <c r="G52" s="146" t="s">
        <v>63</v>
      </c>
      <c r="H52" s="187">
        <f>IF($E52="ne","-",)</f>
        <v>0</v>
      </c>
      <c r="I52" s="187">
        <f t="shared" si="13"/>
        <v>0</v>
      </c>
      <c r="J52" s="187">
        <f t="shared" ref="J52:J57" si="14">IF($E52="ne","-",)</f>
        <v>0</v>
      </c>
      <c r="K52" s="187">
        <v>1</v>
      </c>
      <c r="L52" s="184">
        <f t="shared" si="12"/>
        <v>1</v>
      </c>
      <c r="P52" s="146">
        <f t="shared" si="1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>IF($E53="ne","-",)</f>
        <v>0</v>
      </c>
      <c r="I53" s="122">
        <f t="shared" si="13"/>
        <v>0</v>
      </c>
      <c r="J53" s="122">
        <f t="shared" si="14"/>
        <v>0</v>
      </c>
      <c r="K53" s="122">
        <f>IF($E53="ne","-",)</f>
        <v>0</v>
      </c>
      <c r="L53" s="123">
        <v>1</v>
      </c>
      <c r="P53" s="129">
        <f t="shared" si="1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>IF($E54="ne","-",)</f>
        <v>0</v>
      </c>
      <c r="I54" s="137">
        <f t="shared" si="13"/>
        <v>0</v>
      </c>
      <c r="J54" s="137">
        <f t="shared" si="14"/>
        <v>0</v>
      </c>
      <c r="K54" s="137">
        <f>IF($E54="ne","-",)</f>
        <v>0</v>
      </c>
      <c r="L54" s="138">
        <v>1</v>
      </c>
      <c r="P54" s="134">
        <f t="shared" si="1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541</v>
      </c>
      <c r="G55" s="129" t="s">
        <v>63</v>
      </c>
      <c r="H55" s="122">
        <v>0</v>
      </c>
      <c r="I55" s="122">
        <f t="shared" si="13"/>
        <v>0</v>
      </c>
      <c r="J55" s="122">
        <f t="shared" si="14"/>
        <v>0</v>
      </c>
      <c r="K55" s="122">
        <v>8</v>
      </c>
      <c r="L55" s="123">
        <f t="shared" si="12"/>
        <v>8</v>
      </c>
      <c r="P55" s="129">
        <f t="shared" si="1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542</v>
      </c>
      <c r="G56" s="129" t="s">
        <v>63</v>
      </c>
      <c r="H56" s="122">
        <v>6</v>
      </c>
      <c r="I56" s="122">
        <v>1</v>
      </c>
      <c r="J56" s="122">
        <f t="shared" si="14"/>
        <v>0</v>
      </c>
      <c r="K56" s="122">
        <v>1</v>
      </c>
      <c r="L56" s="123">
        <f t="shared" si="12"/>
        <v>8</v>
      </c>
      <c r="P56" s="129">
        <f t="shared" si="1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543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14"/>
        <v>0</v>
      </c>
      <c r="K57" s="137">
        <f>IF($E57="ne","-",)</f>
        <v>0</v>
      </c>
      <c r="L57" s="138">
        <v>1</v>
      </c>
      <c r="P57" s="134">
        <f t="shared" si="1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544</v>
      </c>
      <c r="G58" s="129" t="s">
        <v>63</v>
      </c>
      <c r="H58" s="122">
        <v>0</v>
      </c>
      <c r="I58" s="122">
        <v>2</v>
      </c>
      <c r="J58" s="122">
        <v>1</v>
      </c>
      <c r="K58" s="122">
        <v>3</v>
      </c>
      <c r="L58" s="123">
        <f t="shared" si="12"/>
        <v>6</v>
      </c>
      <c r="P58" s="129">
        <f t="shared" si="1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545</v>
      </c>
      <c r="G59" s="134" t="s">
        <v>63</v>
      </c>
      <c r="H59" s="137">
        <f t="shared" ref="H59:H67" si="15">IF($E59="ne","-",)</f>
        <v>0</v>
      </c>
      <c r="I59" s="137">
        <v>2</v>
      </c>
      <c r="J59" s="137">
        <f>IF($E59="ne","-",)</f>
        <v>0</v>
      </c>
      <c r="K59" s="137">
        <v>0</v>
      </c>
      <c r="L59" s="138">
        <f t="shared" si="12"/>
        <v>2</v>
      </c>
      <c r="O59" s="129"/>
      <c r="P59" s="129">
        <f t="shared" si="1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61" t="s">
        <v>464</v>
      </c>
      <c r="G60" s="146" t="s">
        <v>74</v>
      </c>
      <c r="H60" s="187">
        <f t="shared" si="15"/>
        <v>0</v>
      </c>
      <c r="I60" s="187">
        <f t="shared" ref="I60:I67" si="16">IF($E60="ne","-",)</f>
        <v>0</v>
      </c>
      <c r="J60" s="187">
        <v>3</v>
      </c>
      <c r="K60" s="187">
        <f t="shared" ref="K60:K67" si="17">IF($E60="ne","-",)</f>
        <v>0</v>
      </c>
      <c r="L60" s="184">
        <f t="shared" si="12"/>
        <v>3</v>
      </c>
      <c r="M60" s="146"/>
      <c r="N60" s="146"/>
      <c r="O60" s="146"/>
      <c r="P60" s="146">
        <f t="shared" si="1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5"/>
        <v>0</v>
      </c>
      <c r="I61" s="122">
        <f t="shared" si="16"/>
        <v>0</v>
      </c>
      <c r="J61" s="122">
        <v>1</v>
      </c>
      <c r="K61" s="122">
        <f t="shared" si="17"/>
        <v>0</v>
      </c>
      <c r="L61" s="123">
        <f t="shared" si="12"/>
        <v>1</v>
      </c>
      <c r="P61" s="129">
        <f t="shared" si="1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5"/>
        <v>0</v>
      </c>
      <c r="I62" s="122">
        <f t="shared" si="16"/>
        <v>0</v>
      </c>
      <c r="J62" s="122">
        <v>1</v>
      </c>
      <c r="K62" s="122">
        <f t="shared" si="17"/>
        <v>0</v>
      </c>
      <c r="L62" s="123">
        <f t="shared" si="12"/>
        <v>1</v>
      </c>
      <c r="P62" s="129">
        <f t="shared" si="1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5"/>
        <v>0</v>
      </c>
      <c r="I63" s="122">
        <f t="shared" si="16"/>
        <v>0</v>
      </c>
      <c r="J63" s="122">
        <f>IF($E63="ne","-",)</f>
        <v>0</v>
      </c>
      <c r="K63" s="122">
        <f t="shared" si="17"/>
        <v>0</v>
      </c>
      <c r="L63" s="123">
        <v>1</v>
      </c>
      <c r="P63" s="129">
        <f t="shared" si="1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5"/>
        <v>0</v>
      </c>
      <c r="I64" s="122">
        <f t="shared" si="16"/>
        <v>0</v>
      </c>
      <c r="J64" s="122">
        <f>IF($E64="ne","-",)</f>
        <v>0</v>
      </c>
      <c r="K64" s="122">
        <f t="shared" si="17"/>
        <v>0</v>
      </c>
      <c r="L64" s="123">
        <v>1</v>
      </c>
      <c r="P64" s="129">
        <f t="shared" si="1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509</v>
      </c>
      <c r="G65" s="129" t="s">
        <v>74</v>
      </c>
      <c r="H65" s="122">
        <f t="shared" si="15"/>
        <v>0</v>
      </c>
      <c r="I65" s="122">
        <f t="shared" si="16"/>
        <v>0</v>
      </c>
      <c r="J65" s="122">
        <f>IF($E65="ne","-",)</f>
        <v>0</v>
      </c>
      <c r="K65" s="122">
        <f t="shared" si="17"/>
        <v>0</v>
      </c>
      <c r="L65" s="123">
        <v>1</v>
      </c>
      <c r="P65" s="129">
        <f t="shared" si="1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15"/>
        <v>0</v>
      </c>
      <c r="I67" s="122">
        <f t="shared" si="16"/>
        <v>0</v>
      </c>
      <c r="J67" s="122">
        <f>IF($E67="ne","-",)</f>
        <v>0</v>
      </c>
      <c r="K67" s="122">
        <f t="shared" si="17"/>
        <v>0</v>
      </c>
      <c r="L67" s="123">
        <v>1</v>
      </c>
      <c r="P67" s="129">
        <f t="shared" si="1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546</v>
      </c>
      <c r="G68" s="129" t="s">
        <v>74</v>
      </c>
      <c r="H68" s="129">
        <v>0</v>
      </c>
      <c r="I68" s="129">
        <v>0</v>
      </c>
      <c r="J68" s="129">
        <v>3</v>
      </c>
      <c r="K68" s="129">
        <v>0</v>
      </c>
      <c r="L68" s="123">
        <f t="shared" si="12"/>
        <v>3</v>
      </c>
      <c r="P68" s="129">
        <f t="shared" si="1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76" si="18">IF($E71="ne","-",)</f>
        <v>0</v>
      </c>
      <c r="I71" s="122">
        <f t="shared" si="18"/>
        <v>0</v>
      </c>
      <c r="J71" s="122">
        <f t="shared" si="18"/>
        <v>0</v>
      </c>
      <c r="K71" s="122">
        <f t="shared" si="18"/>
        <v>0</v>
      </c>
      <c r="L71" s="123">
        <v>1</v>
      </c>
      <c r="P71" s="129">
        <f t="shared" si="1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470</v>
      </c>
      <c r="G72" s="129" t="s">
        <v>74</v>
      </c>
      <c r="H72" s="122">
        <f t="shared" si="18"/>
        <v>0</v>
      </c>
      <c r="I72" s="122">
        <f t="shared" si="18"/>
        <v>0</v>
      </c>
      <c r="J72" s="122">
        <f t="shared" si="18"/>
        <v>0</v>
      </c>
      <c r="K72" s="122">
        <f t="shared" si="18"/>
        <v>0</v>
      </c>
      <c r="L72" s="123">
        <v>1</v>
      </c>
      <c r="P72" s="129">
        <f t="shared" si="1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225</v>
      </c>
      <c r="F73" s="129" t="s">
        <v>548</v>
      </c>
      <c r="G73" s="129" t="s">
        <v>74</v>
      </c>
      <c r="H73" s="122">
        <f t="shared" si="18"/>
        <v>0</v>
      </c>
      <c r="I73" s="122">
        <f t="shared" si="18"/>
        <v>0</v>
      </c>
      <c r="J73" s="122">
        <f t="shared" si="18"/>
        <v>0</v>
      </c>
      <c r="K73" s="122">
        <f t="shared" si="18"/>
        <v>0</v>
      </c>
      <c r="L73" s="123">
        <v>1</v>
      </c>
      <c r="P73" s="129">
        <f t="shared" si="1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549</v>
      </c>
      <c r="G74" s="134" t="s">
        <v>74</v>
      </c>
      <c r="H74" s="137">
        <f t="shared" si="18"/>
        <v>0</v>
      </c>
      <c r="I74" s="137">
        <f t="shared" si="18"/>
        <v>0</v>
      </c>
      <c r="J74" s="137">
        <f t="shared" si="18"/>
        <v>0</v>
      </c>
      <c r="K74" s="137">
        <f t="shared" si="18"/>
        <v>0</v>
      </c>
      <c r="L74" s="138">
        <v>1</v>
      </c>
      <c r="P74" s="134">
        <f t="shared" si="1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550</v>
      </c>
      <c r="G75" s="129" t="s">
        <v>74</v>
      </c>
      <c r="H75" s="122">
        <f t="shared" si="18"/>
        <v>0</v>
      </c>
      <c r="I75" s="122">
        <f t="shared" si="18"/>
        <v>0</v>
      </c>
      <c r="J75" s="122">
        <f t="shared" si="18"/>
        <v>0</v>
      </c>
      <c r="K75" s="122">
        <f t="shared" si="18"/>
        <v>0</v>
      </c>
      <c r="L75" s="123">
        <v>1</v>
      </c>
      <c r="P75" s="129">
        <f t="shared" si="1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551</v>
      </c>
      <c r="G76" s="129" t="s">
        <v>74</v>
      </c>
      <c r="H76" s="122">
        <f t="shared" si="18"/>
        <v>0</v>
      </c>
      <c r="I76" s="122">
        <f t="shared" si="18"/>
        <v>0</v>
      </c>
      <c r="J76" s="122">
        <f t="shared" si="18"/>
        <v>0</v>
      </c>
      <c r="K76" s="122">
        <f t="shared" si="18"/>
        <v>0</v>
      </c>
      <c r="L76" s="123">
        <v>1</v>
      </c>
      <c r="P76" s="129">
        <f t="shared" ref="P76:P87" si="19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552</v>
      </c>
      <c r="G77" s="134" t="s">
        <v>74</v>
      </c>
      <c r="H77" s="137">
        <v>1</v>
      </c>
      <c r="I77" s="137">
        <f t="shared" ref="I77:K81" si="20">IF($E77="ne","-",)</f>
        <v>0</v>
      </c>
      <c r="J77" s="137">
        <f t="shared" si="20"/>
        <v>0</v>
      </c>
      <c r="K77" s="137">
        <f t="shared" si="20"/>
        <v>0</v>
      </c>
      <c r="L77" s="138">
        <f>IF($E77="ne","-",H77+I77+J77+K77)</f>
        <v>1</v>
      </c>
      <c r="P77" s="134">
        <f t="shared" si="19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553</v>
      </c>
      <c r="G78" s="129" t="s">
        <v>74</v>
      </c>
      <c r="H78" s="122">
        <f>IF($E78="ne","-",)</f>
        <v>0</v>
      </c>
      <c r="I78" s="122">
        <f t="shared" si="20"/>
        <v>0</v>
      </c>
      <c r="J78" s="122">
        <f t="shared" si="20"/>
        <v>0</v>
      </c>
      <c r="K78" s="122">
        <f t="shared" si="20"/>
        <v>0</v>
      </c>
      <c r="L78" s="123">
        <v>1</v>
      </c>
      <c r="P78" s="129">
        <f t="shared" si="19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554</v>
      </c>
      <c r="G79" s="129" t="s">
        <v>74</v>
      </c>
      <c r="H79" s="122">
        <f>IF($E79="ne","-",)</f>
        <v>0</v>
      </c>
      <c r="I79" s="122">
        <f t="shared" si="20"/>
        <v>0</v>
      </c>
      <c r="J79" s="122">
        <f t="shared" si="20"/>
        <v>0</v>
      </c>
      <c r="K79" s="122">
        <f t="shared" si="20"/>
        <v>0</v>
      </c>
      <c r="L79" s="123">
        <v>1</v>
      </c>
      <c r="P79" s="129">
        <f t="shared" si="19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>IF($E80="ne","-",)</f>
        <v>0</v>
      </c>
      <c r="I80" s="137">
        <f t="shared" si="20"/>
        <v>0</v>
      </c>
      <c r="J80" s="137">
        <f t="shared" si="20"/>
        <v>0</v>
      </c>
      <c r="K80" s="137">
        <f t="shared" si="20"/>
        <v>0</v>
      </c>
      <c r="L80" s="138">
        <v>1</v>
      </c>
      <c r="P80" s="134">
        <f t="shared" si="19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555</v>
      </c>
      <c r="G81" s="129" t="s">
        <v>74</v>
      </c>
      <c r="H81" s="122">
        <f>IF($E81="ne","-",)</f>
        <v>0</v>
      </c>
      <c r="I81" s="122">
        <f t="shared" si="20"/>
        <v>0</v>
      </c>
      <c r="J81" s="122">
        <f t="shared" si="20"/>
        <v>0</v>
      </c>
      <c r="K81" s="122">
        <f t="shared" si="20"/>
        <v>0</v>
      </c>
      <c r="L81" s="123">
        <v>1</v>
      </c>
      <c r="P81" s="129">
        <f t="shared" si="19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v>0</v>
      </c>
      <c r="I82" s="122">
        <v>1</v>
      </c>
      <c r="J82" s="122">
        <v>0</v>
      </c>
      <c r="K82" s="122">
        <v>0</v>
      </c>
      <c r="L82" s="123">
        <f>IF($E82="ne","-",H82+I82+J82+K82)</f>
        <v>1</v>
      </c>
      <c r="P82" s="129">
        <f t="shared" si="19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ref="H83:K86" si="21">IF($E83="ne","-",)</f>
        <v>0</v>
      </c>
      <c r="I83" s="137">
        <f t="shared" si="21"/>
        <v>0</v>
      </c>
      <c r="J83" s="137">
        <f t="shared" si="21"/>
        <v>0</v>
      </c>
      <c r="K83" s="137">
        <f t="shared" si="21"/>
        <v>0</v>
      </c>
      <c r="L83" s="138">
        <v>1</v>
      </c>
      <c r="P83" s="134">
        <f t="shared" si="19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557</v>
      </c>
      <c r="G84" s="134" t="s">
        <v>74</v>
      </c>
      <c r="H84" s="137">
        <f t="shared" si="21"/>
        <v>0</v>
      </c>
      <c r="I84" s="137">
        <f t="shared" si="21"/>
        <v>0</v>
      </c>
      <c r="J84" s="137">
        <f t="shared" si="21"/>
        <v>0</v>
      </c>
      <c r="K84" s="137">
        <f t="shared" si="21"/>
        <v>0</v>
      </c>
      <c r="L84" s="138">
        <v>1</v>
      </c>
      <c r="P84" s="134">
        <f t="shared" si="19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21"/>
        <v>0</v>
      </c>
      <c r="I85" s="156">
        <f t="shared" si="21"/>
        <v>0</v>
      </c>
      <c r="J85" s="156">
        <f t="shared" si="21"/>
        <v>0</v>
      </c>
      <c r="K85" s="156">
        <f t="shared" si="21"/>
        <v>0</v>
      </c>
      <c r="L85" s="138">
        <v>1</v>
      </c>
      <c r="P85" s="155">
        <f t="shared" si="19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558</v>
      </c>
      <c r="G86" s="155" t="s">
        <v>74</v>
      </c>
      <c r="H86" s="155">
        <f t="shared" si="21"/>
        <v>0</v>
      </c>
      <c r="I86" s="155">
        <f t="shared" si="21"/>
        <v>0</v>
      </c>
      <c r="J86" s="155">
        <f t="shared" si="21"/>
        <v>0</v>
      </c>
      <c r="K86" s="155">
        <f t="shared" si="21"/>
        <v>0</v>
      </c>
      <c r="L86" s="160">
        <v>1</v>
      </c>
      <c r="M86" s="155"/>
      <c r="N86" s="155"/>
      <c r="O86" s="155"/>
      <c r="P86" s="155">
        <f t="shared" si="19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9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A2:Q2" xr:uid="{B02B0A38-8D86-4EC5-97E5-74611AC52359}"/>
  <mergeCells count="3">
    <mergeCell ref="H1:L1"/>
    <mergeCell ref="A98:O98"/>
    <mergeCell ref="A102:O102"/>
  </mergeCells>
  <conditionalFormatting sqref="E5:E8 E14:E23 E26:E27">
    <cfRule type="cellIs" dxfId="114" priority="69" operator="equal">
      <formula>"ne"</formula>
    </cfRule>
  </conditionalFormatting>
  <conditionalFormatting sqref="E10:E12">
    <cfRule type="cellIs" dxfId="113" priority="102" operator="equal">
      <formula>"ne"</formula>
    </cfRule>
  </conditionalFormatting>
  <conditionalFormatting sqref="E29:E43">
    <cfRule type="cellIs" dxfId="112" priority="44" operator="equal">
      <formula>"ne"</formula>
    </cfRule>
  </conditionalFormatting>
  <conditionalFormatting sqref="E45:E67">
    <cfRule type="cellIs" dxfId="111" priority="61" operator="equal">
      <formula>"ne"</formula>
    </cfRule>
  </conditionalFormatting>
  <conditionalFormatting sqref="E69 E71:E91">
    <cfRule type="cellIs" dxfId="110" priority="25" operator="equal">
      <formula>"ne"</formula>
    </cfRule>
  </conditionalFormatting>
  <conditionalFormatting sqref="E96">
    <cfRule type="cellIs" dxfId="109" priority="28" operator="equal">
      <formula>"ne"</formula>
    </cfRule>
  </conditionalFormatting>
  <conditionalFormatting sqref="H3:K23 H26:K27">
    <cfRule type="cellIs" dxfId="108" priority="48" operator="between">
      <formula>0.0001</formula>
      <formula>1000</formula>
    </cfRule>
    <cfRule type="cellIs" dxfId="107" priority="49" operator="equal">
      <formula>"-"</formula>
    </cfRule>
  </conditionalFormatting>
  <conditionalFormatting sqref="H29:K43">
    <cfRule type="cellIs" dxfId="106" priority="41" operator="between">
      <formula>0.0001</formula>
      <formula>1000</formula>
    </cfRule>
    <cfRule type="cellIs" dxfId="105" priority="42" operator="equal">
      <formula>"-"</formula>
    </cfRule>
  </conditionalFormatting>
  <conditionalFormatting sqref="H45:K67">
    <cfRule type="cellIs" dxfId="104" priority="66" operator="between">
      <formula>0.0001</formula>
      <formula>1000</formula>
    </cfRule>
    <cfRule type="cellIs" dxfId="103" priority="67" operator="equal">
      <formula>"-"</formula>
    </cfRule>
  </conditionalFormatting>
  <conditionalFormatting sqref="H69:K69 H71:K90">
    <cfRule type="cellIs" dxfId="102" priority="21" operator="between">
      <formula>0.0001</formula>
      <formula>1000</formula>
    </cfRule>
    <cfRule type="cellIs" dxfId="101" priority="22" operator="equal">
      <formula>"-"</formula>
    </cfRule>
  </conditionalFormatting>
  <conditionalFormatting sqref="H96:K96">
    <cfRule type="cellIs" dxfId="100" priority="26" operator="between">
      <formula>0.0001</formula>
      <formula>1000</formula>
    </cfRule>
    <cfRule type="cellIs" dxfId="99" priority="27" operator="equal">
      <formula>"-"</formula>
    </cfRule>
  </conditionalFormatting>
  <conditionalFormatting sqref="L3:L22">
    <cfRule type="cellIs" dxfId="98" priority="68" operator="equal">
      <formula>0</formula>
    </cfRule>
  </conditionalFormatting>
  <conditionalFormatting sqref="L23 L26">
    <cfRule type="cellIs" dxfId="97" priority="50" operator="equal">
      <formula>0</formula>
    </cfRule>
  </conditionalFormatting>
  <conditionalFormatting sqref="L35:L38">
    <cfRule type="cellIs" dxfId="96" priority="73" operator="equal">
      <formula>0</formula>
    </cfRule>
  </conditionalFormatting>
  <conditionalFormatting sqref="L40:L42">
    <cfRule type="cellIs" dxfId="95" priority="43" operator="equal">
      <formula>0</formula>
    </cfRule>
  </conditionalFormatting>
  <conditionalFormatting sqref="L45:L69 L71:L88">
    <cfRule type="cellIs" dxfId="94" priority="37" operator="equal">
      <formula>0</formula>
    </cfRule>
  </conditionalFormatting>
  <conditionalFormatting sqref="E70">
    <cfRule type="cellIs" dxfId="93" priority="20" operator="equal">
      <formula>"ne"</formula>
    </cfRule>
  </conditionalFormatting>
  <conditionalFormatting sqref="H70:K70">
    <cfRule type="cellIs" dxfId="92" priority="18" operator="between">
      <formula>0.0001</formula>
      <formula>1000</formula>
    </cfRule>
    <cfRule type="cellIs" dxfId="91" priority="19" operator="equal">
      <formula>"-"</formula>
    </cfRule>
  </conditionalFormatting>
  <conditionalFormatting sqref="L70">
    <cfRule type="cellIs" dxfId="90" priority="17" operator="equal">
      <formula>0</formula>
    </cfRule>
  </conditionalFormatting>
  <conditionalFormatting sqref="E25">
    <cfRule type="cellIs" dxfId="89" priority="10" operator="equal">
      <formula>"ne"</formula>
    </cfRule>
  </conditionalFormatting>
  <conditionalFormatting sqref="H25:K25">
    <cfRule type="cellIs" dxfId="88" priority="8" operator="between">
      <formula>0.0001</formula>
      <formula>1000</formula>
    </cfRule>
    <cfRule type="cellIs" dxfId="87" priority="9" operator="equal">
      <formula>"-"</formula>
    </cfRule>
  </conditionalFormatting>
  <conditionalFormatting sqref="E24:E25">
    <cfRule type="cellIs" dxfId="86" priority="7" operator="equal">
      <formula>"ne"</formula>
    </cfRule>
  </conditionalFormatting>
  <conditionalFormatting sqref="H24:K25">
    <cfRule type="cellIs" dxfId="85" priority="5" operator="between">
      <formula>0.0001</formula>
      <formula>1000</formula>
    </cfRule>
    <cfRule type="cellIs" dxfId="84" priority="6" operator="equal">
      <formula>"-"</formula>
    </cfRule>
  </conditionalFormatting>
  <conditionalFormatting sqref="L24:L25">
    <cfRule type="cellIs" dxfId="8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A38-8D86-4EC5-97E5-74611AC52359}">
  <sheetPr>
    <tabColor theme="9" tint="0.39997558519241921"/>
  </sheetPr>
  <dimension ref="A1:Q105"/>
  <sheetViews>
    <sheetView topLeftCell="B1" zoomScale="90" zoomScaleNormal="90" workbookViewId="0">
      <pane ySplit="2" topLeftCell="A7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140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483</v>
      </c>
      <c r="G3" s="119" t="s">
        <v>103</v>
      </c>
      <c r="H3" s="122">
        <f>145+6+4+139+4+101+5+13+5+18+5</f>
        <v>445</v>
      </c>
      <c r="I3" s="122">
        <f>27+42</f>
        <v>69</v>
      </c>
      <c r="J3" s="122">
        <f t="shared" ref="J3:J18" si="0">IF($E3="ne","-",)</f>
        <v>0</v>
      </c>
      <c r="K3" s="122">
        <f>17+14</f>
        <v>31</v>
      </c>
      <c r="L3" s="123">
        <f t="shared" ref="L3:L41" si="1">IF($E3="ne","-",H3+I3+J3+K3)</f>
        <v>545</v>
      </c>
      <c r="M3" s="124"/>
      <c r="N3" s="124"/>
      <c r="O3" s="124"/>
      <c r="P3" s="124">
        <f t="shared" ref="P3:P39" si="2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484</v>
      </c>
      <c r="G4" s="129" t="s">
        <v>103</v>
      </c>
      <c r="H4" s="122">
        <f>26</f>
        <v>26</v>
      </c>
      <c r="I4" s="122">
        <f>96+5</f>
        <v>101</v>
      </c>
      <c r="J4" s="122">
        <f t="shared" si="0"/>
        <v>0</v>
      </c>
      <c r="K4" s="122">
        <f>IF($E4="ne","-",)</f>
        <v>0</v>
      </c>
      <c r="L4" s="123">
        <f t="shared" si="1"/>
        <v>127</v>
      </c>
      <c r="M4" s="130"/>
      <c r="N4" s="124"/>
      <c r="O4" s="124"/>
      <c r="P4" s="124">
        <f t="shared" si="2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80" t="s">
        <v>113</v>
      </c>
      <c r="G5" s="129" t="s">
        <v>103</v>
      </c>
      <c r="H5" s="122" t="s">
        <v>154</v>
      </c>
      <c r="I5" s="122" t="s">
        <v>154</v>
      </c>
      <c r="J5" s="122" t="str">
        <f t="shared" si="0"/>
        <v>-</v>
      </c>
      <c r="K5" s="122" t="str">
        <f>IF($E5="ne","-",)</f>
        <v>-</v>
      </c>
      <c r="L5" s="123" t="str">
        <f t="shared" si="1"/>
        <v>-</v>
      </c>
      <c r="M5" s="130"/>
      <c r="N5" s="124"/>
      <c r="O5" s="124"/>
      <c r="P5" s="124">
        <f t="shared" si="2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485</v>
      </c>
      <c r="G6" s="129" t="s">
        <v>103</v>
      </c>
      <c r="H6" s="122">
        <v>30</v>
      </c>
      <c r="I6" s="122">
        <f>20+11+14</f>
        <v>45</v>
      </c>
      <c r="J6" s="122">
        <f t="shared" ref="I6:K8" si="3">IF($E6="ne","-",)</f>
        <v>0</v>
      </c>
      <c r="K6" s="122">
        <f t="shared" si="3"/>
        <v>0</v>
      </c>
      <c r="L6" s="123">
        <f t="shared" si="1"/>
        <v>75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486</v>
      </c>
      <c r="G7" s="129" t="s">
        <v>103</v>
      </c>
      <c r="H7" s="122">
        <f>43+9</f>
        <v>52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1"/>
        <v>52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487</v>
      </c>
      <c r="G8" s="129" t="s">
        <v>103</v>
      </c>
      <c r="H8" s="122">
        <v>10</v>
      </c>
      <c r="I8" s="122">
        <f t="shared" si="3"/>
        <v>0</v>
      </c>
      <c r="J8" s="122">
        <f t="shared" si="3"/>
        <v>0</v>
      </c>
      <c r="K8" s="122">
        <f t="shared" si="3"/>
        <v>0</v>
      </c>
      <c r="L8" s="123">
        <f t="shared" si="1"/>
        <v>10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488</v>
      </c>
      <c r="G9" s="129" t="s">
        <v>103</v>
      </c>
      <c r="H9" s="122">
        <v>0</v>
      </c>
      <c r="I9" s="122">
        <f t="shared" ref="I9:I41" si="4">IF($E9="ne","-",)</f>
        <v>0</v>
      </c>
      <c r="J9" s="122">
        <f t="shared" si="0"/>
        <v>0</v>
      </c>
      <c r="K9" s="122">
        <f>22+23+20</f>
        <v>65</v>
      </c>
      <c r="L9" s="123">
        <f t="shared" si="1"/>
        <v>65</v>
      </c>
      <c r="M9" s="130"/>
      <c r="N9" s="130"/>
      <c r="O9" s="130"/>
      <c r="P9" s="130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80" t="s">
        <v>113</v>
      </c>
      <c r="G10" s="129" t="s">
        <v>103</v>
      </c>
      <c r="H10" s="122" t="str">
        <f t="shared" ref="H10:H45" si="5">IF($E10="ne","-",)</f>
        <v>-</v>
      </c>
      <c r="I10" s="122" t="str">
        <f t="shared" si="4"/>
        <v>-</v>
      </c>
      <c r="J10" s="122" t="str">
        <f t="shared" si="0"/>
        <v>-</v>
      </c>
      <c r="K10" s="122" t="str">
        <f t="shared" ref="K10:K18" si="6">IF($E10="ne","-",)</f>
        <v>-</v>
      </c>
      <c r="L10" s="123" t="str">
        <f t="shared" si="1"/>
        <v>-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80" t="s">
        <v>113</v>
      </c>
      <c r="G11" s="129" t="s">
        <v>103</v>
      </c>
      <c r="H11" s="122" t="str">
        <f t="shared" si="5"/>
        <v>-</v>
      </c>
      <c r="I11" s="122" t="str">
        <f t="shared" si="4"/>
        <v>-</v>
      </c>
      <c r="J11" s="122" t="str">
        <f t="shared" si="0"/>
        <v>-</v>
      </c>
      <c r="K11" s="122" t="str">
        <f t="shared" si="6"/>
        <v>-</v>
      </c>
      <c r="L11" s="123" t="str">
        <f t="shared" si="1"/>
        <v>-</v>
      </c>
      <c r="M11" s="130"/>
      <c r="N11" s="130"/>
      <c r="O11" s="130"/>
      <c r="P11" s="130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31" t="s">
        <v>489</v>
      </c>
      <c r="G12" s="129" t="s">
        <v>74</v>
      </c>
      <c r="H12" s="122">
        <f t="shared" si="5"/>
        <v>0</v>
      </c>
      <c r="I12" s="122">
        <f t="shared" si="4"/>
        <v>0</v>
      </c>
      <c r="J12" s="122">
        <f t="shared" si="0"/>
        <v>0</v>
      </c>
      <c r="K12" s="122">
        <f t="shared" si="6"/>
        <v>0</v>
      </c>
      <c r="L12" s="123">
        <v>1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490</v>
      </c>
      <c r="G13" s="129" t="s">
        <v>74</v>
      </c>
      <c r="H13" s="122">
        <f t="shared" si="5"/>
        <v>0</v>
      </c>
      <c r="I13" s="122">
        <f t="shared" si="4"/>
        <v>0</v>
      </c>
      <c r="J13" s="122">
        <f t="shared" si="0"/>
        <v>0</v>
      </c>
      <c r="K13" s="122">
        <f t="shared" si="6"/>
        <v>0</v>
      </c>
      <c r="L13" s="123">
        <v>1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5"/>
        <v>-</v>
      </c>
      <c r="I14" s="122" t="str">
        <f t="shared" si="4"/>
        <v>-</v>
      </c>
      <c r="J14" s="122" t="str">
        <f t="shared" si="0"/>
        <v>-</v>
      </c>
      <c r="K14" s="122" t="str">
        <f t="shared" si="6"/>
        <v>-</v>
      </c>
      <c r="L14" s="123" t="str">
        <f t="shared" si="1"/>
        <v>-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5"/>
        <v>-</v>
      </c>
      <c r="I15" s="122" t="str">
        <f t="shared" si="4"/>
        <v>-</v>
      </c>
      <c r="J15" s="122" t="str">
        <f t="shared" si="0"/>
        <v>-</v>
      </c>
      <c r="K15" s="122" t="str">
        <f t="shared" si="6"/>
        <v>-</v>
      </c>
      <c r="L15" s="123" t="str">
        <f t="shared" si="1"/>
        <v>-</v>
      </c>
      <c r="M15" s="130"/>
      <c r="N15" s="130"/>
      <c r="O15" s="130"/>
      <c r="P15" s="130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5"/>
        <v>-</v>
      </c>
      <c r="I16" s="137" t="str">
        <f t="shared" si="4"/>
        <v>-</v>
      </c>
      <c r="J16" s="137" t="str">
        <f t="shared" si="0"/>
        <v>-</v>
      </c>
      <c r="K16" s="137" t="str">
        <f t="shared" si="6"/>
        <v>-</v>
      </c>
      <c r="L16" s="138" t="str">
        <f t="shared" si="1"/>
        <v>-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G17" s="146" t="s">
        <v>63</v>
      </c>
      <c r="H17" s="122" t="str">
        <f t="shared" si="5"/>
        <v>-</v>
      </c>
      <c r="I17" s="122" t="str">
        <f t="shared" si="4"/>
        <v>-</v>
      </c>
      <c r="J17" s="122" t="str">
        <f t="shared" si="0"/>
        <v>-</v>
      </c>
      <c r="K17" s="122" t="str">
        <f t="shared" si="6"/>
        <v>-</v>
      </c>
      <c r="L17" s="123" t="str">
        <f t="shared" si="1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5"/>
        <v>-</v>
      </c>
      <c r="I18" s="137" t="str">
        <f t="shared" si="4"/>
        <v>-</v>
      </c>
      <c r="J18" s="137" t="str">
        <f t="shared" si="0"/>
        <v>-</v>
      </c>
      <c r="K18" s="137" t="str">
        <f t="shared" si="6"/>
        <v>-</v>
      </c>
      <c r="L18" s="138" t="str">
        <f t="shared" si="1"/>
        <v>-</v>
      </c>
      <c r="M18" s="139"/>
      <c r="N18" s="139"/>
      <c r="O18" s="130"/>
      <c r="P18" s="130">
        <f t="shared" si="2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62</v>
      </c>
      <c r="F19" s="131" t="s">
        <v>491</v>
      </c>
      <c r="G19" s="146" t="s">
        <v>63</v>
      </c>
      <c r="H19" s="122">
        <f t="shared" si="5"/>
        <v>0</v>
      </c>
      <c r="I19" s="122">
        <f t="shared" si="4"/>
        <v>0</v>
      </c>
      <c r="J19" s="122">
        <v>0</v>
      </c>
      <c r="K19" s="122">
        <v>1</v>
      </c>
      <c r="L19" s="123">
        <f t="shared" si="1"/>
        <v>1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G20" s="129" t="s">
        <v>63</v>
      </c>
      <c r="H20" s="122" t="str">
        <f t="shared" si="5"/>
        <v>-</v>
      </c>
      <c r="I20" s="122" t="str">
        <f t="shared" si="4"/>
        <v>-</v>
      </c>
      <c r="J20" s="122" t="str">
        <f t="shared" ref="J20:K46" si="7">IF($E20="ne","-",)</f>
        <v>-</v>
      </c>
      <c r="K20" s="122" t="str">
        <f t="shared" si="7"/>
        <v>-</v>
      </c>
      <c r="L20" s="123" t="str">
        <f t="shared" si="1"/>
        <v>-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si="5"/>
        <v>-</v>
      </c>
      <c r="I21" s="122" t="str">
        <f t="shared" si="4"/>
        <v>-</v>
      </c>
      <c r="J21" s="122" t="str">
        <f t="shared" si="7"/>
        <v>-</v>
      </c>
      <c r="K21" s="122" t="str">
        <f t="shared" si="7"/>
        <v>-</v>
      </c>
      <c r="L21" s="138" t="str">
        <f t="shared" si="1"/>
        <v>-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1" t="s">
        <v>492</v>
      </c>
      <c r="G22" s="155" t="s">
        <v>74</v>
      </c>
      <c r="H22" s="156">
        <f t="shared" si="5"/>
        <v>0</v>
      </c>
      <c r="I22" s="156">
        <f t="shared" si="4"/>
        <v>0</v>
      </c>
      <c r="J22" s="156">
        <f t="shared" si="7"/>
        <v>0</v>
      </c>
      <c r="K22" s="156">
        <f t="shared" si="7"/>
        <v>0</v>
      </c>
      <c r="L22" s="138">
        <v>1</v>
      </c>
      <c r="M22" s="157"/>
      <c r="N22" s="157"/>
      <c r="O22" s="157"/>
      <c r="P22" s="157">
        <f t="shared" si="2"/>
        <v>0</v>
      </c>
      <c r="Q22" s="155" t="s">
        <v>315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493</v>
      </c>
      <c r="G23" s="155" t="s">
        <v>74</v>
      </c>
      <c r="H23" s="156">
        <f t="shared" si="5"/>
        <v>0</v>
      </c>
      <c r="I23" s="156">
        <f t="shared" si="4"/>
        <v>0</v>
      </c>
      <c r="J23" s="156">
        <f t="shared" si="7"/>
        <v>0</v>
      </c>
      <c r="K23" s="156">
        <f t="shared" si="7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x14ac:dyDescent="0.25">
      <c r="A24" s="150" t="s">
        <v>99</v>
      </c>
      <c r="B24" s="151" t="s">
        <v>402</v>
      </c>
      <c r="C24" s="158" t="s">
        <v>403</v>
      </c>
      <c r="D24" s="152" t="s">
        <v>403</v>
      </c>
      <c r="E24" s="153" t="s">
        <v>62</v>
      </c>
      <c r="F24" s="155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7">
        <f t="shared" si="2"/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F25" s="155" t="s">
        <v>316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2</v>
      </c>
      <c r="M25" s="157"/>
      <c r="N25" s="157"/>
      <c r="O25" s="157"/>
      <c r="P25" s="157">
        <f>IFERROR(N25+O25,"-")</f>
        <v>0</v>
      </c>
      <c r="Q25" s="155" t="s">
        <v>316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x14ac:dyDescent="0.25">
      <c r="A29" s="172" t="s">
        <v>58</v>
      </c>
      <c r="B29" s="126" t="s">
        <v>59</v>
      </c>
      <c r="C29" s="127" t="s">
        <v>150</v>
      </c>
      <c r="D29" s="119" t="s">
        <v>61</v>
      </c>
      <c r="E29" s="121" t="s">
        <v>113</v>
      </c>
      <c r="G29" s="129" t="s">
        <v>63</v>
      </c>
      <c r="H29" s="122" t="str">
        <f t="shared" si="5"/>
        <v>-</v>
      </c>
      <c r="I29" s="122" t="str">
        <f t="shared" si="4"/>
        <v>-</v>
      </c>
      <c r="J29" s="122" t="str">
        <f t="shared" si="7"/>
        <v>-</v>
      </c>
      <c r="K29" s="122" t="str">
        <f t="shared" si="7"/>
        <v>-</v>
      </c>
      <c r="L29" s="123" t="str">
        <f t="shared" si="1"/>
        <v>-</v>
      </c>
      <c r="P29" s="129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tr">
        <f t="shared" si="5"/>
        <v>-</v>
      </c>
      <c r="I30" s="122" t="str">
        <f t="shared" si="4"/>
        <v>-</v>
      </c>
      <c r="J30" s="122" t="str">
        <f t="shared" si="7"/>
        <v>-</v>
      </c>
      <c r="K30" s="122" t="str">
        <f t="shared" si="7"/>
        <v>-</v>
      </c>
      <c r="L30" s="123" t="str">
        <f t="shared" si="1"/>
        <v>-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G31" s="129" t="s">
        <v>63</v>
      </c>
      <c r="H31" s="122" t="str">
        <f t="shared" si="5"/>
        <v>-</v>
      </c>
      <c r="I31" s="122" t="str">
        <f t="shared" si="4"/>
        <v>-</v>
      </c>
      <c r="J31" s="122" t="str">
        <f t="shared" si="7"/>
        <v>-</v>
      </c>
      <c r="K31" s="122" t="str">
        <f t="shared" si="7"/>
        <v>-</v>
      </c>
      <c r="L31" s="123" t="str">
        <f t="shared" si="1"/>
        <v>-</v>
      </c>
      <c r="P31" s="129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 t="shared" si="5"/>
        <v>-</v>
      </c>
      <c r="I32" s="122" t="str">
        <f t="shared" si="4"/>
        <v>-</v>
      </c>
      <c r="J32" s="122" t="str">
        <f t="shared" si="7"/>
        <v>-</v>
      </c>
      <c r="K32" s="122" t="str">
        <f t="shared" si="7"/>
        <v>-</v>
      </c>
      <c r="L32" s="123" t="str">
        <f t="shared" si="1"/>
        <v>-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 t="shared" si="5"/>
        <v>-</v>
      </c>
      <c r="I33" s="122" t="str">
        <f t="shared" si="4"/>
        <v>-</v>
      </c>
      <c r="J33" s="122" t="str">
        <f t="shared" si="7"/>
        <v>-</v>
      </c>
      <c r="K33" s="122" t="str">
        <f t="shared" si="7"/>
        <v>-</v>
      </c>
      <c r="L33" s="123" t="str">
        <f t="shared" si="1"/>
        <v>-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22" t="str">
        <f t="shared" si="5"/>
        <v>-</v>
      </c>
      <c r="I34" s="122" t="str">
        <f t="shared" si="4"/>
        <v>-</v>
      </c>
      <c r="J34" s="122" t="str">
        <f t="shared" si="7"/>
        <v>-</v>
      </c>
      <c r="K34" s="122" t="str">
        <f t="shared" si="7"/>
        <v>-</v>
      </c>
      <c r="L34" s="138" t="str">
        <f t="shared" si="1"/>
        <v>-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56" t="str">
        <f t="shared" si="5"/>
        <v>-</v>
      </c>
      <c r="I35" s="156" t="str">
        <f t="shared" si="4"/>
        <v>-</v>
      </c>
      <c r="J35" s="156" t="str">
        <f t="shared" si="7"/>
        <v>-</v>
      </c>
      <c r="K35" s="156" t="str">
        <f t="shared" si="7"/>
        <v>-</v>
      </c>
      <c r="L35" s="138" t="str">
        <f t="shared" si="1"/>
        <v>-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G36" s="129" t="s">
        <v>103</v>
      </c>
      <c r="H36" s="122" t="str">
        <f t="shared" si="5"/>
        <v>-</v>
      </c>
      <c r="I36" s="122" t="str">
        <f t="shared" si="4"/>
        <v>-</v>
      </c>
      <c r="J36" s="122" t="str">
        <f t="shared" si="7"/>
        <v>-</v>
      </c>
      <c r="K36" s="122" t="str">
        <f t="shared" si="7"/>
        <v>-</v>
      </c>
      <c r="L36" s="123" t="str">
        <f t="shared" si="1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G37" s="129" t="s">
        <v>103</v>
      </c>
      <c r="H37" s="122" t="str">
        <f t="shared" si="5"/>
        <v>-</v>
      </c>
      <c r="I37" s="122" t="str">
        <f t="shared" si="4"/>
        <v>-</v>
      </c>
      <c r="J37" s="122" t="str">
        <f t="shared" si="7"/>
        <v>-</v>
      </c>
      <c r="K37" s="122" t="str">
        <f t="shared" si="7"/>
        <v>-</v>
      </c>
      <c r="L37" s="123" t="str">
        <f t="shared" si="1"/>
        <v>-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G38" s="129" t="s">
        <v>103</v>
      </c>
      <c r="H38" s="122" t="str">
        <f t="shared" si="5"/>
        <v>-</v>
      </c>
      <c r="I38" s="122" t="str">
        <f t="shared" si="4"/>
        <v>-</v>
      </c>
      <c r="J38" s="122" t="str">
        <f t="shared" si="7"/>
        <v>-</v>
      </c>
      <c r="K38" s="122" t="str">
        <f t="shared" si="7"/>
        <v>-</v>
      </c>
      <c r="L38" s="123" t="str">
        <f t="shared" si="1"/>
        <v>-</v>
      </c>
      <c r="P38" s="129">
        <f t="shared" si="2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37" t="str">
        <f t="shared" si="5"/>
        <v>-</v>
      </c>
      <c r="I39" s="137" t="str">
        <f t="shared" si="4"/>
        <v>-</v>
      </c>
      <c r="J39" s="137" t="str">
        <f t="shared" si="7"/>
        <v>-</v>
      </c>
      <c r="K39" s="137" t="str">
        <f t="shared" si="7"/>
        <v>-</v>
      </c>
      <c r="L39" s="138" t="str">
        <f t="shared" si="1"/>
        <v>-</v>
      </c>
      <c r="P39" s="134">
        <f t="shared" si="2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113</v>
      </c>
      <c r="F40" s="149"/>
      <c r="G40" s="134" t="s">
        <v>74</v>
      </c>
      <c r="H40" s="156" t="str">
        <f t="shared" si="5"/>
        <v>-</v>
      </c>
      <c r="I40" s="156" t="str">
        <f t="shared" si="4"/>
        <v>-</v>
      </c>
      <c r="J40" s="156" t="str">
        <f t="shared" si="7"/>
        <v>-</v>
      </c>
      <c r="K40" s="156" t="str">
        <f t="shared" si="7"/>
        <v>-</v>
      </c>
      <c r="L40" s="138" t="str">
        <f t="shared" si="1"/>
        <v>-</v>
      </c>
      <c r="P40" s="134">
        <f t="shared" ref="P40:P75" si="8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113</v>
      </c>
      <c r="G41" s="155" t="s">
        <v>74</v>
      </c>
      <c r="H41" s="156" t="str">
        <f t="shared" si="5"/>
        <v>-</v>
      </c>
      <c r="I41" s="156" t="str">
        <f t="shared" si="4"/>
        <v>-</v>
      </c>
      <c r="J41" s="156" t="str">
        <f t="shared" si="7"/>
        <v>-</v>
      </c>
      <c r="K41" s="156" t="str">
        <f t="shared" si="7"/>
        <v>-</v>
      </c>
      <c r="L41" s="138" t="str">
        <f t="shared" si="1"/>
        <v>-</v>
      </c>
      <c r="P41" s="155">
        <f t="shared" si="8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x14ac:dyDescent="0.25">
      <c r="A45" s="188" t="s">
        <v>70</v>
      </c>
      <c r="B45" s="126" t="s">
        <v>177</v>
      </c>
      <c r="C45" s="127" t="s">
        <v>178</v>
      </c>
      <c r="D45" s="129" t="s">
        <v>179</v>
      </c>
      <c r="E45" s="121" t="s">
        <v>62</v>
      </c>
      <c r="F45" s="129" t="s">
        <v>494</v>
      </c>
      <c r="G45" s="129" t="s">
        <v>74</v>
      </c>
      <c r="H45" s="122">
        <f t="shared" si="5"/>
        <v>0</v>
      </c>
      <c r="I45" s="129">
        <v>1</v>
      </c>
      <c r="J45" s="122">
        <f t="shared" si="7"/>
        <v>0</v>
      </c>
      <c r="K45" s="122">
        <f t="shared" si="7"/>
        <v>0</v>
      </c>
      <c r="L45" s="123">
        <f t="shared" ref="L45:L62" si="9">IF($E45="ne","-",H45+I45+J45+K45)</f>
        <v>1</v>
      </c>
      <c r="P45" s="129">
        <f t="shared" si="8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495</v>
      </c>
      <c r="G46" s="129" t="s">
        <v>74</v>
      </c>
      <c r="H46" s="129">
        <v>11</v>
      </c>
      <c r="I46" s="129">
        <v>4</v>
      </c>
      <c r="J46" s="122">
        <f t="shared" si="7"/>
        <v>0</v>
      </c>
      <c r="K46" s="122">
        <f t="shared" si="7"/>
        <v>0</v>
      </c>
      <c r="L46" s="123">
        <f t="shared" si="9"/>
        <v>15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496</v>
      </c>
      <c r="G47" s="129" t="s">
        <v>74</v>
      </c>
      <c r="H47" s="122">
        <f>IF($E47="ne","-",)</f>
        <v>0</v>
      </c>
      <c r="I47" s="122">
        <v>1</v>
      </c>
      <c r="J47" s="122">
        <f>IF($E47="ne","-",)</f>
        <v>0</v>
      </c>
      <c r="K47" s="129">
        <v>1</v>
      </c>
      <c r="L47" s="123">
        <f t="shared" si="9"/>
        <v>2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497</v>
      </c>
      <c r="G48" s="129" t="s">
        <v>74</v>
      </c>
      <c r="H48" s="122">
        <f>IF($E48="ne","-",)</f>
        <v>0</v>
      </c>
      <c r="I48" s="129">
        <v>1</v>
      </c>
      <c r="J48" s="122">
        <f t="shared" ref="J48:K50" si="10">IF($E48="ne","-",)</f>
        <v>0</v>
      </c>
      <c r="K48" s="122">
        <f t="shared" si="10"/>
        <v>0</v>
      </c>
      <c r="L48" s="123">
        <f t="shared" si="9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498</v>
      </c>
      <c r="G49" s="129" t="s">
        <v>74</v>
      </c>
      <c r="H49" s="129">
        <v>11</v>
      </c>
      <c r="I49" s="129">
        <v>4</v>
      </c>
      <c r="J49" s="122">
        <f t="shared" si="10"/>
        <v>0</v>
      </c>
      <c r="K49" s="122">
        <f t="shared" si="10"/>
        <v>0</v>
      </c>
      <c r="L49" s="123">
        <f t="shared" si="9"/>
        <v>15</v>
      </c>
      <c r="P49" s="129">
        <f t="shared" si="8"/>
        <v>0</v>
      </c>
    </row>
    <row r="50" spans="1:17" s="282" customFormat="1" x14ac:dyDescent="0.25">
      <c r="A50" s="188" t="s">
        <v>70</v>
      </c>
      <c r="B50" s="193" t="s">
        <v>188</v>
      </c>
      <c r="C50" s="282" t="s">
        <v>178</v>
      </c>
      <c r="D50" s="282" t="s">
        <v>189</v>
      </c>
      <c r="E50" s="283" t="s">
        <v>62</v>
      </c>
      <c r="F50" s="282" t="s">
        <v>499</v>
      </c>
      <c r="G50" s="129" t="s">
        <v>74</v>
      </c>
      <c r="H50" s="284">
        <v>11</v>
      </c>
      <c r="I50" s="284">
        <v>4</v>
      </c>
      <c r="J50" s="284">
        <f t="shared" si="10"/>
        <v>0</v>
      </c>
      <c r="K50" s="284">
        <f t="shared" si="10"/>
        <v>0</v>
      </c>
      <c r="L50" s="285">
        <f t="shared" si="9"/>
        <v>15</v>
      </c>
      <c r="N50" s="129"/>
      <c r="O50" s="129"/>
      <c r="P50" s="129">
        <f t="shared" si="8"/>
        <v>0</v>
      </c>
      <c r="Q50" s="129"/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500</v>
      </c>
      <c r="G51" s="129" t="s">
        <v>74</v>
      </c>
      <c r="H51" s="122">
        <f>IF($E51="ne","-",)</f>
        <v>0</v>
      </c>
      <c r="I51" s="129">
        <v>1</v>
      </c>
      <c r="J51" s="129">
        <v>1</v>
      </c>
      <c r="K51" s="122">
        <v>1</v>
      </c>
      <c r="L51" s="123">
        <f t="shared" si="9"/>
        <v>3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317</v>
      </c>
      <c r="G52" s="146" t="s">
        <v>63</v>
      </c>
      <c r="H52" s="187">
        <f>IF($E52="ne","-",)</f>
        <v>0</v>
      </c>
      <c r="I52" s="187">
        <f>IF($E52="ne","-",)</f>
        <v>0</v>
      </c>
      <c r="J52" s="187">
        <f>IF($E52="ne","-",)</f>
        <v>0</v>
      </c>
      <c r="K52" s="187">
        <v>1</v>
      </c>
      <c r="L52" s="184">
        <f t="shared" si="9"/>
        <v>1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>IF($E53="ne","-",)</f>
        <v>0</v>
      </c>
      <c r="I53" s="129">
        <v>0</v>
      </c>
      <c r="J53" s="129">
        <v>0</v>
      </c>
      <c r="K53" s="122">
        <f>IF($E53="ne","-",)</f>
        <v>0</v>
      </c>
      <c r="L53" s="123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>IF($E54="ne","-",)</f>
        <v>0</v>
      </c>
      <c r="I54" s="137">
        <f>IF($E54="ne","-",)</f>
        <v>0</v>
      </c>
      <c r="J54" s="137">
        <f>IF($E54="ne","-",)</f>
        <v>0</v>
      </c>
      <c r="K54" s="137">
        <f>IF($E54="ne","-",)</f>
        <v>0</v>
      </c>
      <c r="L54" s="138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501</v>
      </c>
      <c r="G55" s="129" t="s">
        <v>63</v>
      </c>
      <c r="H55" s="129">
        <v>22</v>
      </c>
      <c r="I55" s="129">
        <v>0</v>
      </c>
      <c r="J55" s="187">
        <f>IF($E55="ne","-",)</f>
        <v>0</v>
      </c>
      <c r="K55" s="129">
        <v>3</v>
      </c>
      <c r="L55" s="123">
        <f t="shared" si="9"/>
        <v>25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61" t="s">
        <v>502</v>
      </c>
      <c r="G56" s="129" t="s">
        <v>63</v>
      </c>
      <c r="H56" s="129">
        <v>7</v>
      </c>
      <c r="I56" s="129">
        <v>11</v>
      </c>
      <c r="J56" s="122">
        <f>IF($E56="ne","-",)</f>
        <v>0</v>
      </c>
      <c r="K56" s="129">
        <v>3</v>
      </c>
      <c r="L56" s="123">
        <f t="shared" si="9"/>
        <v>21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503</v>
      </c>
      <c r="G57" s="134" t="s">
        <v>74</v>
      </c>
      <c r="H57" s="137">
        <v>0</v>
      </c>
      <c r="I57" s="137">
        <v>0</v>
      </c>
      <c r="J57" s="137">
        <v>0</v>
      </c>
      <c r="K57" s="137">
        <v>0</v>
      </c>
      <c r="L57" s="138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504</v>
      </c>
      <c r="G58" s="129" t="s">
        <v>63</v>
      </c>
      <c r="H58" s="129">
        <v>14</v>
      </c>
      <c r="I58" s="129">
        <v>4</v>
      </c>
      <c r="J58" s="187">
        <f>IF($E58="ne","-",)</f>
        <v>0</v>
      </c>
      <c r="K58" s="187">
        <v>1</v>
      </c>
      <c r="L58" s="123">
        <f t="shared" si="9"/>
        <v>19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505</v>
      </c>
      <c r="G59" s="134" t="s">
        <v>63</v>
      </c>
      <c r="H59" s="134">
        <v>1</v>
      </c>
      <c r="I59" s="137">
        <f>IF($E59="ne","-",)</f>
        <v>0</v>
      </c>
      <c r="J59" s="137">
        <f>IF($E59="ne","-",)</f>
        <v>0</v>
      </c>
      <c r="K59" s="137">
        <f>IF($E59="ne","-",)</f>
        <v>0</v>
      </c>
      <c r="L59" s="138">
        <f t="shared" si="9"/>
        <v>1</v>
      </c>
      <c r="O59" s="129"/>
      <c r="P59" s="129">
        <f t="shared" si="8"/>
        <v>0</v>
      </c>
      <c r="Q59" s="129"/>
    </row>
    <row r="60" spans="1:17" x14ac:dyDescent="0.25">
      <c r="A60" s="188" t="s">
        <v>70</v>
      </c>
      <c r="B60" s="126" t="s">
        <v>210</v>
      </c>
      <c r="C60" s="194" t="s">
        <v>211</v>
      </c>
      <c r="D60" s="119" t="s">
        <v>318</v>
      </c>
      <c r="E60" s="121" t="s">
        <v>62</v>
      </c>
      <c r="F60" s="161" t="s">
        <v>506</v>
      </c>
      <c r="G60" s="146" t="s">
        <v>74</v>
      </c>
      <c r="H60" s="129">
        <v>2</v>
      </c>
      <c r="I60" s="122">
        <v>2</v>
      </c>
      <c r="J60" s="122">
        <f>IF($E60="ne","-",)</f>
        <v>0</v>
      </c>
      <c r="K60" s="122">
        <f>IF($E60="ne","-",)</f>
        <v>0</v>
      </c>
      <c r="L60" s="123">
        <f t="shared" si="9"/>
        <v>4</v>
      </c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507</v>
      </c>
      <c r="G61" s="129" t="s">
        <v>74</v>
      </c>
      <c r="H61" s="122">
        <f t="shared" ref="H61:I67" si="11">IF($E61="ne","-",)</f>
        <v>0</v>
      </c>
      <c r="I61" s="122">
        <f t="shared" si="11"/>
        <v>0</v>
      </c>
      <c r="J61" s="122">
        <f>IF($E61="ne","-",)</f>
        <v>0</v>
      </c>
      <c r="K61" s="122">
        <v>1</v>
      </c>
      <c r="L61" s="123">
        <f t="shared" si="9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1"/>
        <v>0</v>
      </c>
      <c r="I62" s="122">
        <f t="shared" si="11"/>
        <v>0</v>
      </c>
      <c r="J62" s="122">
        <v>1</v>
      </c>
      <c r="K62" s="122">
        <v>0</v>
      </c>
      <c r="L62" s="123">
        <f t="shared" si="9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508</v>
      </c>
      <c r="G63" s="129" t="s">
        <v>74</v>
      </c>
      <c r="H63" s="122">
        <f t="shared" si="11"/>
        <v>0</v>
      </c>
      <c r="I63" s="122">
        <f t="shared" si="11"/>
        <v>0</v>
      </c>
      <c r="J63" s="122">
        <f>IF($E63="ne","-",)</f>
        <v>0</v>
      </c>
      <c r="K63" s="122">
        <f>IF($E63="ne","-",)</f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1"/>
        <v>0</v>
      </c>
      <c r="I64" s="122">
        <f t="shared" si="11"/>
        <v>0</v>
      </c>
      <c r="J64" s="122">
        <f>IF($E64="ne","-",)</f>
        <v>0</v>
      </c>
      <c r="K64" s="122">
        <f>IF($E64="ne","-",)</f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509</v>
      </c>
      <c r="G65" s="129" t="s">
        <v>74</v>
      </c>
      <c r="H65" s="122">
        <f t="shared" si="11"/>
        <v>0</v>
      </c>
      <c r="I65" s="122">
        <f t="shared" si="11"/>
        <v>0</v>
      </c>
      <c r="J65" s="122">
        <f>IF($E65="ne","-",)</f>
        <v>0</v>
      </c>
      <c r="K65" s="122">
        <v>1</v>
      </c>
      <c r="L65" s="123">
        <f t="shared" ref="L65:L68" si="12">IF($E65="ne","-",H65+I65+J65+K65)</f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11"/>
        <v>0</v>
      </c>
      <c r="I67" s="122">
        <f t="shared" si="11"/>
        <v>0</v>
      </c>
      <c r="J67" s="122">
        <v>1</v>
      </c>
      <c r="K67" s="122">
        <v>0</v>
      </c>
      <c r="L67" s="123">
        <f t="shared" si="12"/>
        <v>1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510</v>
      </c>
      <c r="G68" s="129" t="s">
        <v>74</v>
      </c>
      <c r="H68" s="129">
        <v>0</v>
      </c>
      <c r="I68" s="129">
        <v>0</v>
      </c>
      <c r="J68" s="122">
        <v>3</v>
      </c>
      <c r="K68" s="122">
        <v>1</v>
      </c>
      <c r="L68" s="123">
        <f t="shared" si="12"/>
        <v>4</v>
      </c>
      <c r="P68" s="129">
        <f t="shared" si="8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319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80" si="13">IF($E71="ne","-",)</f>
        <v>0</v>
      </c>
      <c r="I71" s="122">
        <f t="shared" si="13"/>
        <v>0</v>
      </c>
      <c r="J71" s="122">
        <f t="shared" si="13"/>
        <v>0</v>
      </c>
      <c r="K71" s="122">
        <f t="shared" si="13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511</v>
      </c>
      <c r="G72" s="129" t="s">
        <v>74</v>
      </c>
      <c r="H72" s="122">
        <f t="shared" si="13"/>
        <v>0</v>
      </c>
      <c r="I72" s="122">
        <f t="shared" si="13"/>
        <v>0</v>
      </c>
      <c r="J72" s="122">
        <f t="shared" si="13"/>
        <v>0</v>
      </c>
      <c r="K72" s="122">
        <f t="shared" si="13"/>
        <v>0</v>
      </c>
      <c r="L72" s="123">
        <v>1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512</v>
      </c>
      <c r="G73" s="129" t="s">
        <v>74</v>
      </c>
      <c r="H73" s="122">
        <f t="shared" si="13"/>
        <v>0</v>
      </c>
      <c r="I73" s="122">
        <f t="shared" si="13"/>
        <v>0</v>
      </c>
      <c r="J73" s="122">
        <f t="shared" si="13"/>
        <v>0</v>
      </c>
      <c r="K73" s="122">
        <f t="shared" si="13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f t="shared" si="13"/>
        <v>0</v>
      </c>
      <c r="I74" s="137">
        <f t="shared" si="13"/>
        <v>0</v>
      </c>
      <c r="J74" s="137">
        <f t="shared" si="13"/>
        <v>0</v>
      </c>
      <c r="K74" s="137">
        <f t="shared" si="13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513</v>
      </c>
      <c r="G75" s="129" t="s">
        <v>74</v>
      </c>
      <c r="H75" s="122">
        <f t="shared" si="13"/>
        <v>0</v>
      </c>
      <c r="I75" s="122">
        <f t="shared" si="13"/>
        <v>0</v>
      </c>
      <c r="J75" s="122">
        <f t="shared" si="13"/>
        <v>0</v>
      </c>
      <c r="K75" s="122">
        <f t="shared" si="13"/>
        <v>0</v>
      </c>
      <c r="L75" s="123">
        <v>1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514</v>
      </c>
      <c r="G76" s="129" t="s">
        <v>74</v>
      </c>
      <c r="H76" s="122">
        <f t="shared" si="13"/>
        <v>0</v>
      </c>
      <c r="I76" s="122">
        <f t="shared" si="13"/>
        <v>0</v>
      </c>
      <c r="J76" s="122">
        <f t="shared" si="13"/>
        <v>0</v>
      </c>
      <c r="K76" s="122">
        <f t="shared" si="13"/>
        <v>0</v>
      </c>
      <c r="L76" s="123">
        <v>1</v>
      </c>
      <c r="P76" s="129">
        <f t="shared" ref="P76:P87" si="14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505</v>
      </c>
      <c r="G77" s="134" t="s">
        <v>74</v>
      </c>
      <c r="H77" s="137">
        <f t="shared" si="13"/>
        <v>0</v>
      </c>
      <c r="I77" s="137">
        <f t="shared" si="13"/>
        <v>0</v>
      </c>
      <c r="J77" s="137">
        <f t="shared" si="13"/>
        <v>0</v>
      </c>
      <c r="K77" s="137">
        <f t="shared" si="13"/>
        <v>0</v>
      </c>
      <c r="L77" s="138">
        <v>1</v>
      </c>
      <c r="P77" s="134">
        <f t="shared" si="14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29" t="s">
        <v>515</v>
      </c>
      <c r="G78" s="129" t="s">
        <v>74</v>
      </c>
      <c r="H78" s="122">
        <f t="shared" si="13"/>
        <v>0</v>
      </c>
      <c r="I78" s="122">
        <f t="shared" si="13"/>
        <v>0</v>
      </c>
      <c r="J78" s="122">
        <f t="shared" si="13"/>
        <v>0</v>
      </c>
      <c r="K78" s="122">
        <f t="shared" si="13"/>
        <v>0</v>
      </c>
      <c r="L78" s="123">
        <v>1</v>
      </c>
      <c r="P78" s="129">
        <f t="shared" si="14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516</v>
      </c>
      <c r="G79" s="129" t="s">
        <v>74</v>
      </c>
      <c r="H79" s="122">
        <f t="shared" si="13"/>
        <v>0</v>
      </c>
      <c r="I79" s="122">
        <f t="shared" si="13"/>
        <v>0</v>
      </c>
      <c r="J79" s="122">
        <f t="shared" si="13"/>
        <v>0</v>
      </c>
      <c r="K79" s="122">
        <f t="shared" si="13"/>
        <v>0</v>
      </c>
      <c r="L79" s="123">
        <v>1</v>
      </c>
      <c r="P79" s="129">
        <f t="shared" si="14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3"/>
        <v>0</v>
      </c>
      <c r="I80" s="137">
        <f t="shared" si="13"/>
        <v>0</v>
      </c>
      <c r="J80" s="137">
        <f t="shared" si="13"/>
        <v>0</v>
      </c>
      <c r="K80" s="137">
        <f t="shared" si="13"/>
        <v>0</v>
      </c>
      <c r="L80" s="138">
        <v>1</v>
      </c>
      <c r="P80" s="134">
        <f t="shared" si="14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517</v>
      </c>
      <c r="G81" s="129" t="s">
        <v>74</v>
      </c>
      <c r="H81" s="122">
        <f t="shared" ref="H81:J82" si="15">IF($E81="ne","-",)</f>
        <v>0</v>
      </c>
      <c r="I81" s="122">
        <f t="shared" si="15"/>
        <v>0</v>
      </c>
      <c r="J81" s="122">
        <f t="shared" si="15"/>
        <v>0</v>
      </c>
      <c r="K81" s="122">
        <v>0</v>
      </c>
      <c r="L81" s="123">
        <v>1</v>
      </c>
      <c r="P81" s="129">
        <f t="shared" si="14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G82" s="129" t="s">
        <v>74</v>
      </c>
      <c r="H82" s="122" t="str">
        <f t="shared" si="15"/>
        <v>-</v>
      </c>
      <c r="I82" s="122" t="str">
        <f t="shared" si="15"/>
        <v>-</v>
      </c>
      <c r="J82" s="122" t="str">
        <f t="shared" si="15"/>
        <v>-</v>
      </c>
      <c r="K82" s="122"/>
      <c r="L82" s="123" t="s">
        <v>154</v>
      </c>
      <c r="P82" s="129">
        <f t="shared" si="14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134" t="s">
        <v>507</v>
      </c>
      <c r="G83" s="134" t="s">
        <v>74</v>
      </c>
      <c r="H83" s="137">
        <f t="shared" ref="H83:K86" si="16">IF($E83="ne","-",)</f>
        <v>0</v>
      </c>
      <c r="I83" s="137">
        <f t="shared" si="16"/>
        <v>0</v>
      </c>
      <c r="J83" s="137">
        <f t="shared" si="16"/>
        <v>0</v>
      </c>
      <c r="K83" s="137">
        <f t="shared" si="16"/>
        <v>0</v>
      </c>
      <c r="L83" s="138">
        <v>1</v>
      </c>
      <c r="P83" s="134">
        <f t="shared" si="14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6"/>
        <v>0</v>
      </c>
      <c r="I84" s="137">
        <f t="shared" si="16"/>
        <v>0</v>
      </c>
      <c r="J84" s="137">
        <f t="shared" si="16"/>
        <v>0</v>
      </c>
      <c r="K84" s="137">
        <f t="shared" si="16"/>
        <v>0</v>
      </c>
      <c r="L84" s="138">
        <v>1</v>
      </c>
      <c r="P84" s="134">
        <f t="shared" si="14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16"/>
        <v>0</v>
      </c>
      <c r="I85" s="156">
        <f t="shared" si="16"/>
        <v>0</v>
      </c>
      <c r="J85" s="156">
        <f t="shared" si="16"/>
        <v>0</v>
      </c>
      <c r="K85" s="156">
        <f t="shared" si="16"/>
        <v>0</v>
      </c>
      <c r="L85" s="138">
        <v>1</v>
      </c>
      <c r="P85" s="155">
        <f t="shared" si="14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519</v>
      </c>
      <c r="G86" s="155" t="s">
        <v>74</v>
      </c>
      <c r="H86" s="155">
        <f t="shared" si="16"/>
        <v>0</v>
      </c>
      <c r="I86" s="155">
        <f t="shared" si="16"/>
        <v>0</v>
      </c>
      <c r="J86" s="155">
        <f t="shared" si="16"/>
        <v>0</v>
      </c>
      <c r="K86" s="155">
        <f t="shared" si="16"/>
        <v>0</v>
      </c>
      <c r="L86" s="160">
        <v>1</v>
      </c>
      <c r="M86" s="155"/>
      <c r="N86" s="155"/>
      <c r="O86" s="155"/>
      <c r="P86" s="155">
        <f t="shared" si="14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4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B2:Q2" xr:uid="{B02B0A38-8D86-4EC5-97E5-74611AC52359}"/>
  <mergeCells count="3">
    <mergeCell ref="H1:L1"/>
    <mergeCell ref="A98:O98"/>
    <mergeCell ref="A102:O102"/>
  </mergeCells>
  <phoneticPr fontId="3" type="noConversion"/>
  <conditionalFormatting sqref="E5 E10:E23 E26:E27">
    <cfRule type="cellIs" dxfId="82" priority="21" operator="equal">
      <formula>"ne"</formula>
    </cfRule>
  </conditionalFormatting>
  <conditionalFormatting sqref="E29:E43">
    <cfRule type="cellIs" dxfId="81" priority="45" operator="equal">
      <formula>"ne"</formula>
    </cfRule>
  </conditionalFormatting>
  <conditionalFormatting sqref="E45:E67">
    <cfRule type="cellIs" dxfId="80" priority="75" operator="equal">
      <formula>"ne"</formula>
    </cfRule>
  </conditionalFormatting>
  <conditionalFormatting sqref="E69 E71:E91">
    <cfRule type="cellIs" dxfId="79" priority="26" operator="equal">
      <formula>"ne"</formula>
    </cfRule>
  </conditionalFormatting>
  <conditionalFormatting sqref="E96">
    <cfRule type="cellIs" dxfId="78" priority="29" operator="equal">
      <formula>"ne"</formula>
    </cfRule>
  </conditionalFormatting>
  <conditionalFormatting sqref="H3:K23 H26:K27">
    <cfRule type="cellIs" dxfId="77" priority="49" operator="between">
      <formula>0.0001</formula>
      <formula>1000</formula>
    </cfRule>
    <cfRule type="cellIs" dxfId="76" priority="50" operator="equal">
      <formula>"-"</formula>
    </cfRule>
  </conditionalFormatting>
  <conditionalFormatting sqref="H29:K43">
    <cfRule type="cellIs" dxfId="75" priority="42" operator="between">
      <formula>0.0001</formula>
      <formula>1000</formula>
    </cfRule>
    <cfRule type="cellIs" dxfId="74" priority="43" operator="equal">
      <formula>"-"</formula>
    </cfRule>
  </conditionalFormatting>
  <conditionalFormatting sqref="H45:K67">
    <cfRule type="cellIs" dxfId="73" priority="67" operator="between">
      <formula>0.0001</formula>
      <formula>1000</formula>
    </cfRule>
    <cfRule type="cellIs" dxfId="72" priority="68" operator="equal">
      <formula>"-"</formula>
    </cfRule>
  </conditionalFormatting>
  <conditionalFormatting sqref="H69:K69 H71:K90">
    <cfRule type="cellIs" dxfId="71" priority="22" operator="between">
      <formula>0.0001</formula>
      <formula>1000</formula>
    </cfRule>
    <cfRule type="cellIs" dxfId="70" priority="23" operator="equal">
      <formula>"-"</formula>
    </cfRule>
  </conditionalFormatting>
  <conditionalFormatting sqref="H96:K96">
    <cfRule type="cellIs" dxfId="69" priority="27" operator="between">
      <formula>0.0001</formula>
      <formula>1000</formula>
    </cfRule>
    <cfRule type="cellIs" dxfId="68" priority="28" operator="equal">
      <formula>"-"</formula>
    </cfRule>
  </conditionalFormatting>
  <conditionalFormatting sqref="J68:K68">
    <cfRule type="cellIs" dxfId="67" priority="62" operator="between">
      <formula>0.0001</formula>
      <formula>1000</formula>
    </cfRule>
    <cfRule type="cellIs" dxfId="66" priority="63" operator="equal">
      <formula>"-"</formula>
    </cfRule>
  </conditionalFormatting>
  <conditionalFormatting sqref="L3:L22">
    <cfRule type="cellIs" dxfId="65" priority="69" operator="equal">
      <formula>0</formula>
    </cfRule>
  </conditionalFormatting>
  <conditionalFormatting sqref="L23 L26">
    <cfRule type="cellIs" dxfId="64" priority="51" operator="equal">
      <formula>0</formula>
    </cfRule>
  </conditionalFormatting>
  <conditionalFormatting sqref="L29:L42">
    <cfRule type="cellIs" dxfId="63" priority="44" operator="equal">
      <formula>0</formula>
    </cfRule>
  </conditionalFormatting>
  <conditionalFormatting sqref="L45:L69 L71:L88">
    <cfRule type="cellIs" dxfId="62" priority="38" operator="equal">
      <formula>0</formula>
    </cfRule>
  </conditionalFormatting>
  <conditionalFormatting sqref="E70">
    <cfRule type="cellIs" dxfId="61" priority="20" operator="equal">
      <formula>"ne"</formula>
    </cfRule>
  </conditionalFormatting>
  <conditionalFormatting sqref="H70:K70">
    <cfRule type="cellIs" dxfId="60" priority="18" operator="between">
      <formula>0.0001</formula>
      <formula>1000</formula>
    </cfRule>
    <cfRule type="cellIs" dxfId="59" priority="19" operator="equal">
      <formula>"-"</formula>
    </cfRule>
  </conditionalFormatting>
  <conditionalFormatting sqref="L70">
    <cfRule type="cellIs" dxfId="58" priority="17" operator="equal">
      <formula>0</formula>
    </cfRule>
  </conditionalFormatting>
  <conditionalFormatting sqref="E25">
    <cfRule type="cellIs" dxfId="57" priority="10" operator="equal">
      <formula>"ne"</formula>
    </cfRule>
  </conditionalFormatting>
  <conditionalFormatting sqref="H25:K25">
    <cfRule type="cellIs" dxfId="56" priority="8" operator="between">
      <formula>0.0001</formula>
      <formula>1000</formula>
    </cfRule>
    <cfRule type="cellIs" dxfId="55" priority="9" operator="equal">
      <formula>"-"</formula>
    </cfRule>
  </conditionalFormatting>
  <conditionalFormatting sqref="E24:E25">
    <cfRule type="cellIs" dxfId="54" priority="7" operator="equal">
      <formula>"ne"</formula>
    </cfRule>
  </conditionalFormatting>
  <conditionalFormatting sqref="H24:K25">
    <cfRule type="cellIs" dxfId="53" priority="5" operator="between">
      <formula>0.0001</formula>
      <formula>1000</formula>
    </cfRule>
    <cfRule type="cellIs" dxfId="52" priority="6" operator="equal">
      <formula>"-"</formula>
    </cfRule>
  </conditionalFormatting>
  <conditionalFormatting sqref="L24:L25">
    <cfRule type="cellIs" dxfId="51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77253-004A-4EB0-A6BD-8D08B1718531}">
  <sheetPr>
    <tabColor theme="9" tint="0.39997558519241921"/>
  </sheetPr>
  <dimension ref="A1:R104"/>
  <sheetViews>
    <sheetView zoomScale="80" zoomScaleNormal="80" workbookViewId="0">
      <pane ySplit="2" topLeftCell="A3" activePane="bottomLeft" state="frozen"/>
      <selection activeCell="C101" sqref="C101"/>
      <selection pane="bottomLeft" activeCell="Q22" sqref="Q22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5.42578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8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311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8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8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232" t="s">
        <v>863</v>
      </c>
      <c r="G3" s="129" t="s">
        <v>103</v>
      </c>
      <c r="H3" s="122">
        <f>34+36+55+19+55+36+18</f>
        <v>253</v>
      </c>
      <c r="I3" s="122">
        <v>124</v>
      </c>
      <c r="J3" s="122">
        <v>30</v>
      </c>
      <c r="K3" s="122">
        <v>141</v>
      </c>
      <c r="L3" s="123">
        <f t="shared" ref="L3:L41" si="0">IF($E3="ne","-",H3+I3+J3+K3)</f>
        <v>548</v>
      </c>
      <c r="M3" s="278"/>
      <c r="N3" s="124"/>
      <c r="O3" s="124"/>
      <c r="P3" s="124">
        <f t="shared" ref="P3:P39" si="1">IFERROR(N3+O3,"-")</f>
        <v>0</v>
      </c>
      <c r="R3" s="119"/>
    </row>
    <row r="4" spans="1:18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61" t="s">
        <v>450</v>
      </c>
      <c r="G4" s="129" t="s">
        <v>103</v>
      </c>
      <c r="H4" s="122">
        <f>IF($E4="ne","-",)</f>
        <v>0</v>
      </c>
      <c r="I4" s="122">
        <f>IF($E4="ne","-",)</f>
        <v>0</v>
      </c>
      <c r="J4" s="122">
        <f>3+8</f>
        <v>11</v>
      </c>
      <c r="K4" s="122">
        <f>IF($E4="ne","-",)</f>
        <v>0</v>
      </c>
      <c r="L4" s="123">
        <f t="shared" si="0"/>
        <v>11</v>
      </c>
      <c r="M4" s="130"/>
      <c r="N4" s="124"/>
      <c r="O4" s="124"/>
      <c r="P4" s="124">
        <f t="shared" si="1"/>
        <v>0</v>
      </c>
      <c r="R4" s="119"/>
    </row>
    <row r="5" spans="1:18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G5" s="129" t="s">
        <v>103</v>
      </c>
      <c r="H5" s="122" t="str">
        <f>IF($E5="ne","-",)</f>
        <v>-</v>
      </c>
      <c r="I5" s="122" t="str">
        <f>IF($E5="ne","-",)</f>
        <v>-</v>
      </c>
      <c r="J5" s="122" t="str">
        <f t="shared" ref="J5:J18" si="2">IF($E5="ne","-",)</f>
        <v>-</v>
      </c>
      <c r="K5" s="122" t="str">
        <f>IF($E5="ne","-",)</f>
        <v>-</v>
      </c>
      <c r="L5" s="123" t="str">
        <f t="shared" si="0"/>
        <v>-</v>
      </c>
      <c r="M5" s="130"/>
      <c r="N5" s="124"/>
      <c r="O5" s="124"/>
      <c r="P5" s="124">
        <f t="shared" si="1"/>
        <v>0</v>
      </c>
      <c r="R5" s="119"/>
    </row>
    <row r="6" spans="1:18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232" t="s">
        <v>864</v>
      </c>
      <c r="G6" s="129" t="s">
        <v>103</v>
      </c>
      <c r="H6" s="122">
        <v>0</v>
      </c>
      <c r="I6" s="122">
        <f>25+8+20</f>
        <v>53</v>
      </c>
      <c r="J6" s="122">
        <f t="shared" ref="I6:K8" si="3">IF($E6="ne","-",)</f>
        <v>0</v>
      </c>
      <c r="K6" s="122">
        <f t="shared" si="3"/>
        <v>0</v>
      </c>
      <c r="L6" s="123">
        <f t="shared" si="0"/>
        <v>53</v>
      </c>
      <c r="M6" s="130"/>
      <c r="N6" s="130"/>
      <c r="O6" s="130"/>
      <c r="P6" s="130">
        <f t="shared" si="1"/>
        <v>0</v>
      </c>
    </row>
    <row r="7" spans="1:18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29" t="s">
        <v>451</v>
      </c>
      <c r="G7" s="129" t="s">
        <v>103</v>
      </c>
      <c r="H7" s="122">
        <f>12+15+20+21+21+20+15</f>
        <v>124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0"/>
        <v>124</v>
      </c>
      <c r="M7" s="130"/>
      <c r="N7" s="130"/>
      <c r="O7" s="130"/>
      <c r="P7" s="130">
        <f t="shared" si="1"/>
        <v>0</v>
      </c>
    </row>
    <row r="8" spans="1:18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>
        <v>0</v>
      </c>
      <c r="I8" s="122" t="str">
        <f t="shared" si="3"/>
        <v>-</v>
      </c>
      <c r="J8" s="122" t="str">
        <f t="shared" si="3"/>
        <v>-</v>
      </c>
      <c r="K8" s="122" t="str">
        <f t="shared" si="3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8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G9" s="129" t="s">
        <v>103</v>
      </c>
      <c r="H9" s="122" t="str">
        <f t="shared" ref="H9:I19" si="4">IF($E9="ne","-",)</f>
        <v>-</v>
      </c>
      <c r="I9" s="122" t="str">
        <f t="shared" si="4"/>
        <v>-</v>
      </c>
      <c r="J9" s="122" t="str">
        <f t="shared" si="2"/>
        <v>-</v>
      </c>
      <c r="K9" s="122" t="str">
        <f>IF($E9="ne","-",)</f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  <c r="R9" s="119"/>
    </row>
    <row r="10" spans="1:18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G10" s="129" t="s">
        <v>103</v>
      </c>
      <c r="H10" s="122" t="str">
        <f t="shared" si="4"/>
        <v>-</v>
      </c>
      <c r="I10" s="122" t="str">
        <f t="shared" si="4"/>
        <v>-</v>
      </c>
      <c r="J10" s="122" t="str">
        <f t="shared" si="2"/>
        <v>-</v>
      </c>
      <c r="K10" s="122" t="str">
        <f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  <c r="R10" s="119"/>
    </row>
    <row r="11" spans="1:18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452</v>
      </c>
      <c r="G11" s="129" t="s">
        <v>103</v>
      </c>
      <c r="H11" s="122">
        <f t="shared" si="4"/>
        <v>0</v>
      </c>
      <c r="I11" s="122">
        <f t="shared" si="4"/>
        <v>0</v>
      </c>
      <c r="J11" s="122">
        <f t="shared" si="2"/>
        <v>0</v>
      </c>
      <c r="K11" s="122">
        <v>186</v>
      </c>
      <c r="L11" s="123">
        <f t="shared" si="0"/>
        <v>186</v>
      </c>
      <c r="M11" s="130"/>
      <c r="N11" s="130"/>
      <c r="O11" s="130"/>
      <c r="P11" s="130">
        <f t="shared" si="1"/>
        <v>0</v>
      </c>
      <c r="R11" s="119"/>
    </row>
    <row r="12" spans="1:18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G12" s="129" t="s">
        <v>74</v>
      </c>
      <c r="H12" s="122" t="str">
        <f t="shared" si="4"/>
        <v>-</v>
      </c>
      <c r="I12" s="122" t="str">
        <f t="shared" si="4"/>
        <v>-</v>
      </c>
      <c r="J12" s="122" t="str">
        <f t="shared" si="2"/>
        <v>-</v>
      </c>
      <c r="K12" s="122" t="str">
        <f t="shared" ref="K12:K18" si="5">IF($E12="ne","-",)</f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  <c r="R12" s="119"/>
    </row>
    <row r="13" spans="1:18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G13" s="129" t="s">
        <v>74</v>
      </c>
      <c r="H13" s="122" t="str">
        <f t="shared" si="4"/>
        <v>-</v>
      </c>
      <c r="I13" s="122" t="str">
        <f t="shared" si="4"/>
        <v>-</v>
      </c>
      <c r="J13" s="122" t="str">
        <f t="shared" si="2"/>
        <v>-</v>
      </c>
      <c r="K13" s="122" t="str">
        <f t="shared" si="5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  <c r="R13" s="119"/>
    </row>
    <row r="14" spans="1:18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4"/>
        <v>-</v>
      </c>
      <c r="I14" s="122" t="str">
        <f t="shared" si="4"/>
        <v>-</v>
      </c>
      <c r="J14" s="122" t="str">
        <f t="shared" si="2"/>
        <v>-</v>
      </c>
      <c r="K14" s="122" t="str">
        <f t="shared" si="5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  <c r="R14" s="119"/>
    </row>
    <row r="15" spans="1:18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4"/>
        <v>-</v>
      </c>
      <c r="I15" s="122" t="str">
        <f t="shared" si="4"/>
        <v>-</v>
      </c>
      <c r="J15" s="122" t="str">
        <f t="shared" si="2"/>
        <v>-</v>
      </c>
      <c r="K15" s="122" t="str">
        <f t="shared" si="5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  <c r="R15" s="119"/>
    </row>
    <row r="16" spans="1:18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G16" s="134" t="s">
        <v>103</v>
      </c>
      <c r="H16" s="137" t="str">
        <f t="shared" si="4"/>
        <v>-</v>
      </c>
      <c r="I16" s="137" t="str">
        <f t="shared" si="4"/>
        <v>-</v>
      </c>
      <c r="J16" s="137" t="str">
        <f t="shared" si="2"/>
        <v>-</v>
      </c>
      <c r="K16" s="137" t="str">
        <f t="shared" si="5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  <c r="R16" s="135"/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G17" s="146" t="s">
        <v>63</v>
      </c>
      <c r="H17" s="122" t="str">
        <f t="shared" si="4"/>
        <v>-</v>
      </c>
      <c r="I17" s="122" t="str">
        <f t="shared" si="4"/>
        <v>-</v>
      </c>
      <c r="J17" s="122" t="str">
        <f t="shared" si="2"/>
        <v>-</v>
      </c>
      <c r="K17" s="122" t="str">
        <f t="shared" si="5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G18" s="134" t="s">
        <v>63</v>
      </c>
      <c r="H18" s="137" t="str">
        <f t="shared" si="4"/>
        <v>-</v>
      </c>
      <c r="I18" s="137" t="str">
        <f t="shared" si="4"/>
        <v>-</v>
      </c>
      <c r="J18" s="137" t="str">
        <f t="shared" si="2"/>
        <v>-</v>
      </c>
      <c r="K18" s="137" t="str">
        <f t="shared" si="5"/>
        <v>-</v>
      </c>
      <c r="L18" s="138" t="str">
        <f t="shared" si="0"/>
        <v>-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G19" s="146" t="s">
        <v>63</v>
      </c>
      <c r="H19" s="122" t="str">
        <f t="shared" si="4"/>
        <v>-</v>
      </c>
      <c r="I19" s="122" t="str">
        <f t="shared" si="4"/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453</v>
      </c>
      <c r="G20" s="129" t="s">
        <v>63</v>
      </c>
      <c r="H20" s="122">
        <v>1</v>
      </c>
      <c r="I20" s="122">
        <f t="shared" ref="I20:K41" si="6">IF($E20="ne","-",)</f>
        <v>0</v>
      </c>
      <c r="J20" s="122">
        <f t="shared" si="6"/>
        <v>0</v>
      </c>
      <c r="K20" s="122">
        <f t="shared" si="6"/>
        <v>0</v>
      </c>
      <c r="L20" s="123">
        <f t="shared" si="0"/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G21" s="134" t="s">
        <v>63</v>
      </c>
      <c r="H21" s="137" t="str">
        <f t="shared" ref="H21:H48" si="7">IF($E21="ne","-",)</f>
        <v>-</v>
      </c>
      <c r="I21" s="122" t="str">
        <f t="shared" si="6"/>
        <v>-</v>
      </c>
      <c r="J21" s="122" t="str">
        <f t="shared" si="6"/>
        <v>-</v>
      </c>
      <c r="K21" s="122" t="str">
        <f t="shared" si="6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320</v>
      </c>
      <c r="G22" s="155" t="s">
        <v>74</v>
      </c>
      <c r="H22" s="156">
        <f t="shared" si="7"/>
        <v>0</v>
      </c>
      <c r="I22" s="156">
        <f t="shared" si="6"/>
        <v>0</v>
      </c>
      <c r="J22" s="156">
        <f t="shared" si="6"/>
        <v>0</v>
      </c>
      <c r="K22" s="156">
        <f t="shared" si="6"/>
        <v>0</v>
      </c>
      <c r="L22" s="138">
        <v>1</v>
      </c>
      <c r="M22" s="157"/>
      <c r="N22" s="157"/>
      <c r="O22" s="157"/>
      <c r="P22" s="157">
        <f t="shared" si="1"/>
        <v>0</v>
      </c>
      <c r="Q22" s="155" t="s">
        <v>315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454</v>
      </c>
      <c r="G23" s="155" t="s">
        <v>74</v>
      </c>
      <c r="H23" s="156">
        <f t="shared" si="7"/>
        <v>0</v>
      </c>
      <c r="I23" s="156">
        <f t="shared" si="6"/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x14ac:dyDescent="0.25">
      <c r="A24" s="150" t="s">
        <v>99</v>
      </c>
      <c r="B24" s="151" t="s">
        <v>402</v>
      </c>
      <c r="C24" s="158" t="s">
        <v>403</v>
      </c>
      <c r="D24" s="152" t="s">
        <v>403</v>
      </c>
      <c r="E24" s="153" t="s">
        <v>62</v>
      </c>
      <c r="F24" s="155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7">
        <f t="shared" si="1"/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x14ac:dyDescent="0.25">
      <c r="A29" s="172" t="s">
        <v>58</v>
      </c>
      <c r="B29" s="126" t="s">
        <v>59</v>
      </c>
      <c r="C29" s="127" t="s">
        <v>150</v>
      </c>
      <c r="D29" s="119" t="s">
        <v>61</v>
      </c>
      <c r="E29" s="121" t="s">
        <v>113</v>
      </c>
      <c r="G29" s="129" t="s">
        <v>63</v>
      </c>
      <c r="H29" s="122" t="str">
        <f t="shared" si="7"/>
        <v>-</v>
      </c>
      <c r="I29" s="122" t="str">
        <f t="shared" si="6"/>
        <v>-</v>
      </c>
      <c r="J29" s="122" t="str">
        <f t="shared" si="6"/>
        <v>-</v>
      </c>
      <c r="K29" s="122" t="str">
        <f t="shared" si="6"/>
        <v>-</v>
      </c>
      <c r="L29" s="123" t="str">
        <f t="shared" si="0"/>
        <v>-</v>
      </c>
      <c r="P29" s="129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tr">
        <f t="shared" si="7"/>
        <v>-</v>
      </c>
      <c r="I30" s="122" t="str">
        <f t="shared" si="6"/>
        <v>-</v>
      </c>
      <c r="J30" s="122" t="str">
        <f t="shared" si="6"/>
        <v>-</v>
      </c>
      <c r="K30" s="122" t="str">
        <f t="shared" si="6"/>
        <v>-</v>
      </c>
      <c r="L30" s="123" t="str">
        <f t="shared" si="0"/>
        <v>-</v>
      </c>
      <c r="P30" s="129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G31" s="129" t="s">
        <v>63</v>
      </c>
      <c r="H31" s="122" t="str">
        <f t="shared" si="7"/>
        <v>-</v>
      </c>
      <c r="I31" s="122" t="str">
        <f t="shared" si="6"/>
        <v>-</v>
      </c>
      <c r="J31" s="122" t="str">
        <f t="shared" si="6"/>
        <v>-</v>
      </c>
      <c r="K31" s="122" t="str">
        <f t="shared" si="6"/>
        <v>-</v>
      </c>
      <c r="L31" s="123" t="str">
        <f t="shared" si="0"/>
        <v>-</v>
      </c>
      <c r="P31" s="129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 t="shared" si="7"/>
        <v>-</v>
      </c>
      <c r="I32" s="122" t="str">
        <f t="shared" si="6"/>
        <v>-</v>
      </c>
      <c r="J32" s="122" t="str">
        <f t="shared" si="6"/>
        <v>-</v>
      </c>
      <c r="K32" s="122" t="str">
        <f t="shared" si="6"/>
        <v>-</v>
      </c>
      <c r="L32" s="123" t="str">
        <f t="shared" si="0"/>
        <v>-</v>
      </c>
      <c r="P32" s="129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 t="shared" si="7"/>
        <v>-</v>
      </c>
      <c r="I33" s="122" t="str">
        <f t="shared" si="6"/>
        <v>-</v>
      </c>
      <c r="J33" s="122" t="str">
        <f t="shared" si="6"/>
        <v>-</v>
      </c>
      <c r="K33" s="122" t="str">
        <f t="shared" si="6"/>
        <v>-</v>
      </c>
      <c r="L33" s="123" t="str">
        <f t="shared" si="0"/>
        <v>-</v>
      </c>
      <c r="P33" s="129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G34" s="134" t="s">
        <v>63</v>
      </c>
      <c r="H34" s="122" t="str">
        <f t="shared" si="7"/>
        <v>-</v>
      </c>
      <c r="I34" s="122" t="str">
        <f t="shared" si="6"/>
        <v>-</v>
      </c>
      <c r="J34" s="122" t="str">
        <f t="shared" si="6"/>
        <v>-</v>
      </c>
      <c r="K34" s="122" t="str">
        <f t="shared" si="6"/>
        <v>-</v>
      </c>
      <c r="L34" s="138" t="str">
        <f t="shared" si="0"/>
        <v>-</v>
      </c>
      <c r="P34" s="134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G35" s="155" t="s">
        <v>74</v>
      </c>
      <c r="H35" s="156" t="str">
        <f t="shared" si="7"/>
        <v>-</v>
      </c>
      <c r="I35" s="156" t="str">
        <f t="shared" si="6"/>
        <v>-</v>
      </c>
      <c r="J35" s="156" t="str">
        <f t="shared" si="6"/>
        <v>-</v>
      </c>
      <c r="K35" s="156" t="str">
        <f t="shared" si="6"/>
        <v>-</v>
      </c>
      <c r="L35" s="138" t="str">
        <f t="shared" si="0"/>
        <v>-</v>
      </c>
      <c r="P35" s="155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G36" s="129" t="s">
        <v>103</v>
      </c>
      <c r="H36" s="122" t="str">
        <f t="shared" si="7"/>
        <v>-</v>
      </c>
      <c r="I36" s="122" t="str">
        <f t="shared" si="6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G37" s="129" t="s">
        <v>103</v>
      </c>
      <c r="H37" s="122" t="str">
        <f t="shared" si="7"/>
        <v>-</v>
      </c>
      <c r="I37" s="122" t="str">
        <f t="shared" si="6"/>
        <v>-</v>
      </c>
      <c r="J37" s="122" t="str">
        <f t="shared" si="6"/>
        <v>-</v>
      </c>
      <c r="K37" s="122" t="str">
        <f t="shared" si="6"/>
        <v>-</v>
      </c>
      <c r="L37" s="123" t="str">
        <f t="shared" si="0"/>
        <v>-</v>
      </c>
      <c r="P37" s="129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G38" s="129" t="s">
        <v>103</v>
      </c>
      <c r="H38" s="122" t="str">
        <f t="shared" si="7"/>
        <v>-</v>
      </c>
      <c r="I38" s="122" t="str">
        <f t="shared" si="6"/>
        <v>-</v>
      </c>
      <c r="J38" s="122" t="str">
        <f t="shared" si="6"/>
        <v>-</v>
      </c>
      <c r="K38" s="122" t="str">
        <f t="shared" si="6"/>
        <v>-</v>
      </c>
      <c r="L38" s="123" t="str">
        <f t="shared" si="0"/>
        <v>-</v>
      </c>
      <c r="P38" s="129">
        <f t="shared" si="1"/>
        <v>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113</v>
      </c>
      <c r="G39" s="134" t="s">
        <v>103</v>
      </c>
      <c r="H39" s="137" t="str">
        <f t="shared" si="7"/>
        <v>-</v>
      </c>
      <c r="I39" s="137" t="str">
        <f t="shared" si="6"/>
        <v>-</v>
      </c>
      <c r="J39" s="137" t="str">
        <f t="shared" si="6"/>
        <v>-</v>
      </c>
      <c r="K39" s="137" t="str">
        <f t="shared" si="6"/>
        <v>-</v>
      </c>
      <c r="L39" s="138" t="str">
        <f t="shared" si="0"/>
        <v>-</v>
      </c>
      <c r="P39" s="134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113</v>
      </c>
      <c r="F40" s="149"/>
      <c r="G40" s="134" t="s">
        <v>74</v>
      </c>
      <c r="H40" s="156" t="str">
        <f t="shared" si="7"/>
        <v>-</v>
      </c>
      <c r="I40" s="156" t="str">
        <f t="shared" si="6"/>
        <v>-</v>
      </c>
      <c r="J40" s="156" t="str">
        <f t="shared" si="6"/>
        <v>-</v>
      </c>
      <c r="K40" s="156" t="str">
        <f t="shared" si="6"/>
        <v>-</v>
      </c>
      <c r="L40" s="138" t="str">
        <f t="shared" si="0"/>
        <v>-</v>
      </c>
      <c r="P40" s="134">
        <f t="shared" ref="P40:P75" si="8">IFERROR(N40+O40,"-")</f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113</v>
      </c>
      <c r="G41" s="155" t="s">
        <v>74</v>
      </c>
      <c r="H41" s="156" t="str">
        <f t="shared" si="7"/>
        <v>-</v>
      </c>
      <c r="I41" s="156" t="str">
        <f t="shared" si="6"/>
        <v>-</v>
      </c>
      <c r="J41" s="156" t="str">
        <f t="shared" si="6"/>
        <v>-</v>
      </c>
      <c r="K41" s="156" t="str">
        <f t="shared" si="6"/>
        <v>-</v>
      </c>
      <c r="L41" s="138" t="str">
        <f t="shared" si="0"/>
        <v>-</v>
      </c>
      <c r="P41" s="155">
        <f t="shared" si="8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113</v>
      </c>
      <c r="F42" s="161" t="s">
        <v>280</v>
      </c>
      <c r="G42" s="129"/>
      <c r="L42" s="184" t="s">
        <v>154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x14ac:dyDescent="0.25">
      <c r="A45" s="188" t="s">
        <v>70</v>
      </c>
      <c r="B45" s="126" t="s">
        <v>177</v>
      </c>
      <c r="C45" s="127" t="s">
        <v>178</v>
      </c>
      <c r="D45" s="129" t="s">
        <v>179</v>
      </c>
      <c r="E45" s="121" t="s">
        <v>62</v>
      </c>
      <c r="F45" s="129" t="s">
        <v>455</v>
      </c>
      <c r="G45" s="129" t="s">
        <v>74</v>
      </c>
      <c r="H45" s="122">
        <f t="shared" si="7"/>
        <v>0</v>
      </c>
      <c r="I45" s="122">
        <f>IF($E45="ne","-",)</f>
        <v>0</v>
      </c>
      <c r="J45" s="122">
        <v>1</v>
      </c>
      <c r="K45" s="122">
        <f t="shared" ref="K45:K55" si="9">IF($E45="ne","-",)</f>
        <v>0</v>
      </c>
      <c r="L45" s="123">
        <f t="shared" ref="L45:L68" si="10">IF($E45="ne","-",H45+I45+J45+K45)</f>
        <v>1</v>
      </c>
      <c r="P45" s="129">
        <f t="shared" si="8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456</v>
      </c>
      <c r="G46" s="129" t="s">
        <v>74</v>
      </c>
      <c r="H46" s="122">
        <f t="shared" si="7"/>
        <v>0</v>
      </c>
      <c r="I46" s="122">
        <v>1</v>
      </c>
      <c r="J46" s="122">
        <v>3</v>
      </c>
      <c r="K46" s="122">
        <f t="shared" si="9"/>
        <v>0</v>
      </c>
      <c r="L46" s="123">
        <f t="shared" si="10"/>
        <v>4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457</v>
      </c>
      <c r="G47" s="129" t="s">
        <v>74</v>
      </c>
      <c r="H47" s="122">
        <f t="shared" si="7"/>
        <v>0</v>
      </c>
      <c r="I47" s="122">
        <f>IF($E47="ne","-",)</f>
        <v>0</v>
      </c>
      <c r="J47" s="122">
        <v>1</v>
      </c>
      <c r="K47" s="122">
        <f t="shared" si="9"/>
        <v>0</v>
      </c>
      <c r="L47" s="123">
        <f t="shared" si="10"/>
        <v>1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61" t="s">
        <v>457</v>
      </c>
      <c r="G48" s="129" t="s">
        <v>74</v>
      </c>
      <c r="H48" s="122">
        <f t="shared" si="7"/>
        <v>0</v>
      </c>
      <c r="I48" s="122">
        <f>IF($E48="ne","-",)</f>
        <v>0</v>
      </c>
      <c r="J48" s="122">
        <v>1</v>
      </c>
      <c r="K48" s="122">
        <f t="shared" si="9"/>
        <v>0</v>
      </c>
      <c r="L48" s="123">
        <f t="shared" si="10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458</v>
      </c>
      <c r="G49" s="129" t="s">
        <v>74</v>
      </c>
      <c r="H49" s="122">
        <v>3</v>
      </c>
      <c r="I49" s="122">
        <v>5</v>
      </c>
      <c r="J49" s="122">
        <f>IF($E49="ne","-",)</f>
        <v>0</v>
      </c>
      <c r="K49" s="122">
        <f t="shared" si="9"/>
        <v>0</v>
      </c>
      <c r="L49" s="123">
        <f t="shared" si="10"/>
        <v>8</v>
      </c>
      <c r="P49" s="129">
        <f t="shared" si="8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459</v>
      </c>
      <c r="G50" s="129" t="s">
        <v>74</v>
      </c>
      <c r="H50" s="122">
        <v>3</v>
      </c>
      <c r="I50" s="122">
        <v>5</v>
      </c>
      <c r="J50" s="122">
        <f>IF($E50="ne","-",)</f>
        <v>0</v>
      </c>
      <c r="K50" s="122">
        <f t="shared" si="9"/>
        <v>0</v>
      </c>
      <c r="L50" s="123">
        <f t="shared" si="10"/>
        <v>8</v>
      </c>
      <c r="P50" s="129">
        <f t="shared" si="8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431</v>
      </c>
      <c r="G51" s="129" t="s">
        <v>74</v>
      </c>
      <c r="H51" s="122">
        <f t="shared" ref="H51:I54" si="11">IF($E51="ne","-",)</f>
        <v>0</v>
      </c>
      <c r="I51" s="122">
        <f t="shared" si="11"/>
        <v>0</v>
      </c>
      <c r="J51" s="122">
        <v>1</v>
      </c>
      <c r="K51" s="122">
        <f t="shared" si="9"/>
        <v>0</v>
      </c>
      <c r="L51" s="123">
        <f t="shared" si="10"/>
        <v>1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113</v>
      </c>
      <c r="G52" s="146" t="s">
        <v>63</v>
      </c>
      <c r="H52" s="187" t="str">
        <f t="shared" si="11"/>
        <v>-</v>
      </c>
      <c r="I52" s="187" t="str">
        <f t="shared" si="11"/>
        <v>-</v>
      </c>
      <c r="J52" s="187" t="str">
        <f t="shared" ref="J52:J64" si="12">IF($E52="ne","-",)</f>
        <v>-</v>
      </c>
      <c r="K52" s="187" t="str">
        <f t="shared" si="9"/>
        <v>-</v>
      </c>
      <c r="L52" s="184" t="str">
        <f t="shared" si="10"/>
        <v>-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11"/>
        <v>0</v>
      </c>
      <c r="I53" s="122">
        <f t="shared" si="11"/>
        <v>0</v>
      </c>
      <c r="J53" s="122">
        <f t="shared" si="12"/>
        <v>0</v>
      </c>
      <c r="K53" s="122">
        <f t="shared" si="9"/>
        <v>0</v>
      </c>
      <c r="L53" s="123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11"/>
        <v>0</v>
      </c>
      <c r="I54" s="137">
        <f t="shared" si="11"/>
        <v>0</v>
      </c>
      <c r="J54" s="137">
        <f t="shared" si="12"/>
        <v>0</v>
      </c>
      <c r="K54" s="137">
        <f t="shared" si="9"/>
        <v>0</v>
      </c>
      <c r="L54" s="138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460</v>
      </c>
      <c r="G55" s="129" t="s">
        <v>63</v>
      </c>
      <c r="H55" s="122">
        <v>16</v>
      </c>
      <c r="I55" s="122">
        <v>0</v>
      </c>
      <c r="J55" s="122">
        <f t="shared" si="12"/>
        <v>0</v>
      </c>
      <c r="K55" s="122">
        <f t="shared" si="9"/>
        <v>0</v>
      </c>
      <c r="L55" s="123">
        <f t="shared" si="10"/>
        <v>16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461</v>
      </c>
      <c r="G56" s="129" t="s">
        <v>63</v>
      </c>
      <c r="H56" s="122">
        <v>4</v>
      </c>
      <c r="I56" s="122">
        <v>16</v>
      </c>
      <c r="J56" s="122">
        <f t="shared" si="12"/>
        <v>0</v>
      </c>
      <c r="K56" s="122">
        <v>2</v>
      </c>
      <c r="L56" s="123">
        <f t="shared" si="10"/>
        <v>22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462</v>
      </c>
      <c r="G57" s="134" t="s">
        <v>74</v>
      </c>
      <c r="H57" s="137">
        <f t="shared" ref="H57:I67" si="13">IF($E57="ne","-",)</f>
        <v>0</v>
      </c>
      <c r="I57" s="137">
        <f t="shared" si="13"/>
        <v>0</v>
      </c>
      <c r="J57" s="137">
        <f t="shared" si="12"/>
        <v>0</v>
      </c>
      <c r="K57" s="137">
        <f t="shared" ref="K57:K67" si="14">IF($E57="ne","-",)</f>
        <v>0</v>
      </c>
      <c r="L57" s="138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463</v>
      </c>
      <c r="G58" s="129" t="s">
        <v>63</v>
      </c>
      <c r="H58" s="122">
        <f t="shared" si="13"/>
        <v>0</v>
      </c>
      <c r="I58" s="122">
        <v>5</v>
      </c>
      <c r="J58" s="122">
        <f t="shared" si="12"/>
        <v>0</v>
      </c>
      <c r="K58" s="122">
        <f t="shared" si="14"/>
        <v>0</v>
      </c>
      <c r="L58" s="123">
        <f t="shared" si="10"/>
        <v>5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113</v>
      </c>
      <c r="F59" s="206"/>
      <c r="G59" s="134" t="s">
        <v>63</v>
      </c>
      <c r="H59" s="137" t="str">
        <f t="shared" si="13"/>
        <v>-</v>
      </c>
      <c r="I59" s="137" t="str">
        <f t="shared" si="13"/>
        <v>-</v>
      </c>
      <c r="J59" s="137" t="str">
        <f t="shared" si="12"/>
        <v>-</v>
      </c>
      <c r="K59" s="137" t="str">
        <f t="shared" si="14"/>
        <v>-</v>
      </c>
      <c r="L59" s="138" t="str">
        <f t="shared" si="10"/>
        <v>-</v>
      </c>
      <c r="O59" s="129"/>
      <c r="P59" s="129">
        <f t="shared" si="8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464</v>
      </c>
      <c r="G60" s="146" t="s">
        <v>74</v>
      </c>
      <c r="H60" s="187">
        <f t="shared" si="13"/>
        <v>0</v>
      </c>
      <c r="I60" s="187">
        <v>1</v>
      </c>
      <c r="J60" s="187">
        <v>2</v>
      </c>
      <c r="K60" s="187">
        <f t="shared" si="14"/>
        <v>0</v>
      </c>
      <c r="L60" s="184">
        <f t="shared" si="10"/>
        <v>3</v>
      </c>
      <c r="M60" s="146"/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457</v>
      </c>
      <c r="G61" s="129" t="s">
        <v>74</v>
      </c>
      <c r="H61" s="122">
        <f t="shared" si="13"/>
        <v>0</v>
      </c>
      <c r="I61" s="122">
        <f t="shared" si="13"/>
        <v>0</v>
      </c>
      <c r="J61" s="122">
        <v>1</v>
      </c>
      <c r="K61" s="122">
        <f t="shared" si="14"/>
        <v>0</v>
      </c>
      <c r="L61" s="123">
        <f t="shared" si="10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431</v>
      </c>
      <c r="G62" s="129" t="s">
        <v>74</v>
      </c>
      <c r="H62" s="122">
        <f t="shared" si="13"/>
        <v>0</v>
      </c>
      <c r="I62" s="122">
        <f t="shared" si="13"/>
        <v>0</v>
      </c>
      <c r="J62" s="122">
        <v>1</v>
      </c>
      <c r="K62" s="122">
        <f t="shared" si="14"/>
        <v>0</v>
      </c>
      <c r="L62" s="123">
        <f t="shared" si="10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3"/>
        <v>0</v>
      </c>
      <c r="I63" s="122">
        <f t="shared" si="13"/>
        <v>0</v>
      </c>
      <c r="J63" s="122">
        <f t="shared" si="12"/>
        <v>0</v>
      </c>
      <c r="K63" s="122">
        <f t="shared" si="14"/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3"/>
        <v>0</v>
      </c>
      <c r="I64" s="122">
        <f t="shared" si="13"/>
        <v>0</v>
      </c>
      <c r="J64" s="122">
        <f t="shared" si="12"/>
        <v>0</v>
      </c>
      <c r="K64" s="122">
        <f t="shared" si="14"/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466</v>
      </c>
      <c r="G65" s="129" t="s">
        <v>74</v>
      </c>
      <c r="H65" s="122">
        <f t="shared" si="13"/>
        <v>0</v>
      </c>
      <c r="I65" s="122">
        <f t="shared" si="13"/>
        <v>0</v>
      </c>
      <c r="J65" s="122">
        <v>1</v>
      </c>
      <c r="K65" s="122">
        <f t="shared" si="14"/>
        <v>0</v>
      </c>
      <c r="L65" s="123">
        <f t="shared" si="10"/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467</v>
      </c>
      <c r="G67" s="129" t="s">
        <v>74</v>
      </c>
      <c r="H67" s="122">
        <f t="shared" si="13"/>
        <v>0</v>
      </c>
      <c r="I67" s="122">
        <f t="shared" si="13"/>
        <v>0</v>
      </c>
      <c r="J67" s="122">
        <v>1</v>
      </c>
      <c r="K67" s="122">
        <f t="shared" si="14"/>
        <v>0</v>
      </c>
      <c r="L67" s="123">
        <f t="shared" si="10"/>
        <v>1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468</v>
      </c>
      <c r="G68" s="129" t="s">
        <v>74</v>
      </c>
      <c r="H68" s="122">
        <v>0</v>
      </c>
      <c r="I68" s="122">
        <v>0</v>
      </c>
      <c r="J68" s="122">
        <v>3</v>
      </c>
      <c r="K68" s="122">
        <v>0</v>
      </c>
      <c r="L68" s="123">
        <f t="shared" si="10"/>
        <v>3</v>
      </c>
      <c r="P68" s="129">
        <f t="shared" si="8"/>
        <v>0</v>
      </c>
    </row>
    <row r="69" spans="1:16" ht="15" customHeight="1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29" t="s">
        <v>469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80" si="15">IF($E71="ne","-",)</f>
        <v>0</v>
      </c>
      <c r="I71" s="122">
        <f t="shared" si="15"/>
        <v>0</v>
      </c>
      <c r="J71" s="122">
        <f t="shared" si="15"/>
        <v>0</v>
      </c>
      <c r="K71" s="122">
        <f t="shared" si="15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470</v>
      </c>
      <c r="G72" s="129" t="s">
        <v>74</v>
      </c>
      <c r="H72" s="122">
        <f t="shared" si="15"/>
        <v>0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v>1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471</v>
      </c>
      <c r="G73" s="129" t="s">
        <v>74</v>
      </c>
      <c r="H73" s="122">
        <f t="shared" si="15"/>
        <v>0</v>
      </c>
      <c r="I73" s="122">
        <f t="shared" si="15"/>
        <v>0</v>
      </c>
      <c r="J73" s="122">
        <f t="shared" si="15"/>
        <v>0</v>
      </c>
      <c r="K73" s="122">
        <f t="shared" si="15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472</v>
      </c>
      <c r="G74" s="134" t="s">
        <v>74</v>
      </c>
      <c r="H74" s="137">
        <f t="shared" si="15"/>
        <v>0</v>
      </c>
      <c r="I74" s="137">
        <f t="shared" si="15"/>
        <v>0</v>
      </c>
      <c r="J74" s="137">
        <f t="shared" si="15"/>
        <v>0</v>
      </c>
      <c r="K74" s="137">
        <f t="shared" si="15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473</v>
      </c>
      <c r="G75" s="129" t="s">
        <v>74</v>
      </c>
      <c r="H75" s="122">
        <f t="shared" si="15"/>
        <v>0</v>
      </c>
      <c r="I75" s="122">
        <f t="shared" si="15"/>
        <v>0</v>
      </c>
      <c r="J75" s="122">
        <f t="shared" si="15"/>
        <v>0</v>
      </c>
      <c r="K75" s="122">
        <f t="shared" si="15"/>
        <v>0</v>
      </c>
      <c r="L75" s="123">
        <v>1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29" t="s">
        <v>474</v>
      </c>
      <c r="G76" s="129" t="s">
        <v>74</v>
      </c>
      <c r="H76" s="122">
        <f t="shared" si="15"/>
        <v>0</v>
      </c>
      <c r="I76" s="122">
        <f t="shared" si="15"/>
        <v>0</v>
      </c>
      <c r="J76" s="122">
        <f t="shared" si="15"/>
        <v>0</v>
      </c>
      <c r="K76" s="122">
        <f t="shared" si="15"/>
        <v>0</v>
      </c>
      <c r="L76" s="123">
        <v>1</v>
      </c>
      <c r="P76" s="129">
        <f t="shared" ref="P76:P87" si="16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475</v>
      </c>
      <c r="G77" s="134" t="s">
        <v>74</v>
      </c>
      <c r="H77" s="137">
        <f t="shared" si="15"/>
        <v>0</v>
      </c>
      <c r="I77" s="137">
        <f t="shared" si="15"/>
        <v>0</v>
      </c>
      <c r="J77" s="137">
        <f t="shared" si="15"/>
        <v>0</v>
      </c>
      <c r="K77" s="137">
        <f t="shared" si="15"/>
        <v>0</v>
      </c>
      <c r="L77" s="138">
        <v>1</v>
      </c>
      <c r="P77" s="134">
        <f t="shared" si="16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476</v>
      </c>
      <c r="G78" s="129" t="s">
        <v>74</v>
      </c>
      <c r="H78" s="122">
        <f t="shared" si="15"/>
        <v>0</v>
      </c>
      <c r="I78" s="122">
        <f t="shared" si="15"/>
        <v>0</v>
      </c>
      <c r="J78" s="122">
        <f t="shared" si="15"/>
        <v>0</v>
      </c>
      <c r="K78" s="122">
        <f t="shared" si="15"/>
        <v>0</v>
      </c>
      <c r="L78" s="123">
        <v>1</v>
      </c>
      <c r="P78" s="129">
        <f t="shared" si="16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477</v>
      </c>
      <c r="G79" s="129" t="s">
        <v>74</v>
      </c>
      <c r="H79" s="122">
        <f t="shared" si="15"/>
        <v>0</v>
      </c>
      <c r="I79" s="122">
        <f t="shared" si="15"/>
        <v>0</v>
      </c>
      <c r="J79" s="122">
        <f t="shared" si="15"/>
        <v>0</v>
      </c>
      <c r="K79" s="122">
        <f t="shared" si="15"/>
        <v>0</v>
      </c>
      <c r="L79" s="123">
        <v>1</v>
      </c>
      <c r="P79" s="129">
        <f t="shared" si="16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5"/>
        <v>0</v>
      </c>
      <c r="I80" s="137">
        <f t="shared" si="15"/>
        <v>0</v>
      </c>
      <c r="J80" s="137">
        <f t="shared" si="15"/>
        <v>0</v>
      </c>
      <c r="K80" s="137">
        <f t="shared" si="15"/>
        <v>0</v>
      </c>
      <c r="L80" s="138">
        <v>1</v>
      </c>
      <c r="P80" s="134">
        <f t="shared" si="16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478</v>
      </c>
      <c r="G81" s="129" t="s">
        <v>74</v>
      </c>
      <c r="H81" s="122">
        <f t="shared" ref="H81:J83" si="17">IF($E81="ne","-",)</f>
        <v>0</v>
      </c>
      <c r="I81" s="122">
        <f t="shared" si="17"/>
        <v>0</v>
      </c>
      <c r="J81" s="122">
        <f t="shared" si="17"/>
        <v>0</v>
      </c>
      <c r="K81" s="122">
        <v>0</v>
      </c>
      <c r="L81" s="123">
        <v>1</v>
      </c>
      <c r="P81" s="129">
        <f t="shared" si="16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225</v>
      </c>
      <c r="F82" s="129" t="s">
        <v>479</v>
      </c>
      <c r="G82" s="129" t="s">
        <v>74</v>
      </c>
      <c r="H82" s="122">
        <f t="shared" si="17"/>
        <v>0</v>
      </c>
      <c r="I82" s="122">
        <f t="shared" si="17"/>
        <v>0</v>
      </c>
      <c r="J82" s="122">
        <f t="shared" si="17"/>
        <v>0</v>
      </c>
      <c r="K82" s="122">
        <f>IF($E82="ne","-",)</f>
        <v>0</v>
      </c>
      <c r="L82" s="123">
        <v>1</v>
      </c>
      <c r="P82" s="129">
        <f t="shared" si="16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134" t="s">
        <v>457</v>
      </c>
      <c r="G83" s="134" t="s">
        <v>74</v>
      </c>
      <c r="H83" s="137">
        <f t="shared" si="17"/>
        <v>0</v>
      </c>
      <c r="I83" s="137">
        <f t="shared" si="17"/>
        <v>0</v>
      </c>
      <c r="J83" s="137">
        <f t="shared" si="17"/>
        <v>0</v>
      </c>
      <c r="K83" s="137">
        <f>IF($E83="ne","-",)</f>
        <v>0</v>
      </c>
      <c r="L83" s="138">
        <v>1</v>
      </c>
      <c r="P83" s="134">
        <f t="shared" si="16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79" t="s">
        <v>480</v>
      </c>
      <c r="G84" s="134" t="s">
        <v>74</v>
      </c>
      <c r="H84" s="137">
        <f t="shared" ref="H84:K86" si="18">IF($E84="ne","-",)</f>
        <v>0</v>
      </c>
      <c r="I84" s="137">
        <f t="shared" si="18"/>
        <v>0</v>
      </c>
      <c r="J84" s="137">
        <f t="shared" si="18"/>
        <v>0</v>
      </c>
      <c r="K84" s="137">
        <f t="shared" si="18"/>
        <v>0</v>
      </c>
      <c r="L84" s="138">
        <v>1</v>
      </c>
      <c r="P84" s="134">
        <f t="shared" si="16"/>
        <v>0</v>
      </c>
    </row>
    <row r="85" spans="1:17" s="155" customFormat="1" x14ac:dyDescent="0.25">
      <c r="A85" s="207" t="s">
        <v>70</v>
      </c>
      <c r="B85" s="151" t="s">
        <v>265</v>
      </c>
      <c r="C85" s="148" t="s">
        <v>174</v>
      </c>
      <c r="D85" s="148" t="s">
        <v>174</v>
      </c>
      <c r="E85" s="153" t="s">
        <v>62</v>
      </c>
      <c r="F85" s="134" t="s">
        <v>481</v>
      </c>
      <c r="G85" s="155" t="s">
        <v>74</v>
      </c>
      <c r="H85" s="156">
        <f t="shared" si="18"/>
        <v>0</v>
      </c>
      <c r="I85" s="156">
        <f t="shared" si="18"/>
        <v>0</v>
      </c>
      <c r="J85" s="156">
        <f t="shared" si="18"/>
        <v>0</v>
      </c>
      <c r="K85" s="156">
        <f t="shared" si="18"/>
        <v>0</v>
      </c>
      <c r="L85" s="138">
        <v>1</v>
      </c>
      <c r="P85" s="155">
        <f t="shared" si="16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482</v>
      </c>
      <c r="G86" s="155" t="s">
        <v>74</v>
      </c>
      <c r="H86" s="155">
        <f t="shared" si="18"/>
        <v>0</v>
      </c>
      <c r="I86" s="155">
        <f t="shared" si="18"/>
        <v>0</v>
      </c>
      <c r="J86" s="155">
        <f t="shared" si="18"/>
        <v>0</v>
      </c>
      <c r="K86" s="155">
        <f t="shared" si="18"/>
        <v>0</v>
      </c>
      <c r="L86" s="160">
        <v>1</v>
      </c>
      <c r="M86" s="155"/>
      <c r="N86" s="155"/>
      <c r="O86" s="155"/>
      <c r="P86" s="155">
        <f t="shared" si="16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6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Q2" xr:uid="{B02B0A38-8D86-4EC5-97E5-74611AC52359}"/>
  <mergeCells count="3">
    <mergeCell ref="H1:L1"/>
    <mergeCell ref="A98:O98"/>
    <mergeCell ref="A102:O102"/>
  </mergeCells>
  <conditionalFormatting sqref="E3:E23 E26:E27">
    <cfRule type="cellIs" dxfId="50" priority="51" operator="equal">
      <formula>"ne"</formula>
    </cfRule>
  </conditionalFormatting>
  <conditionalFormatting sqref="E29:E43">
    <cfRule type="cellIs" dxfId="49" priority="44" operator="equal">
      <formula>"ne"</formula>
    </cfRule>
  </conditionalFormatting>
  <conditionalFormatting sqref="E45:E67">
    <cfRule type="cellIs" dxfId="48" priority="69" operator="equal">
      <formula>"ne"</formula>
    </cfRule>
  </conditionalFormatting>
  <conditionalFormatting sqref="E69 E71:E91">
    <cfRule type="cellIs" dxfId="47" priority="25" operator="equal">
      <formula>"ne"</formula>
    </cfRule>
  </conditionalFormatting>
  <conditionalFormatting sqref="E96">
    <cfRule type="cellIs" dxfId="46" priority="28" operator="equal">
      <formula>"ne"</formula>
    </cfRule>
  </conditionalFormatting>
  <conditionalFormatting sqref="H3:K23 H26:K27">
    <cfRule type="cellIs" dxfId="45" priority="48" operator="between">
      <formula>0.0001</formula>
      <formula>1000</formula>
    </cfRule>
    <cfRule type="cellIs" dxfId="44" priority="49" operator="equal">
      <formula>"-"</formula>
    </cfRule>
  </conditionalFormatting>
  <conditionalFormatting sqref="H29:K43">
    <cfRule type="cellIs" dxfId="43" priority="41" operator="between">
      <formula>0.0001</formula>
      <formula>1000</formula>
    </cfRule>
    <cfRule type="cellIs" dxfId="42" priority="42" operator="equal">
      <formula>"-"</formula>
    </cfRule>
  </conditionalFormatting>
  <conditionalFormatting sqref="H45:K69 H71:K90">
    <cfRule type="cellIs" dxfId="41" priority="21" operator="between">
      <formula>0.0001</formula>
      <formula>1000</formula>
    </cfRule>
    <cfRule type="cellIs" dxfId="40" priority="22" operator="equal">
      <formula>"-"</formula>
    </cfRule>
  </conditionalFormatting>
  <conditionalFormatting sqref="H96:K96">
    <cfRule type="cellIs" dxfId="39" priority="26" operator="between">
      <formula>0.0001</formula>
      <formula>1000</formula>
    </cfRule>
    <cfRule type="cellIs" dxfId="38" priority="27" operator="equal">
      <formula>"-"</formula>
    </cfRule>
  </conditionalFormatting>
  <conditionalFormatting sqref="L3:L22">
    <cfRule type="cellIs" dxfId="37" priority="68" operator="equal">
      <formula>0</formula>
    </cfRule>
  </conditionalFormatting>
  <conditionalFormatting sqref="L23 L26">
    <cfRule type="cellIs" dxfId="36" priority="50" operator="equal">
      <formula>0</formula>
    </cfRule>
  </conditionalFormatting>
  <conditionalFormatting sqref="L29:L42">
    <cfRule type="cellIs" dxfId="35" priority="43" operator="equal">
      <formula>0</formula>
    </cfRule>
  </conditionalFormatting>
  <conditionalFormatting sqref="L45:L69 L71:L88">
    <cfRule type="cellIs" dxfId="34" priority="37" operator="equal">
      <formula>0</formula>
    </cfRule>
  </conditionalFormatting>
  <conditionalFormatting sqref="E70">
    <cfRule type="cellIs" dxfId="33" priority="20" operator="equal">
      <formula>"ne"</formula>
    </cfRule>
  </conditionalFormatting>
  <conditionalFormatting sqref="H70:K70">
    <cfRule type="cellIs" dxfId="32" priority="18" operator="between">
      <formula>0.0001</formula>
      <formula>1000</formula>
    </cfRule>
    <cfRule type="cellIs" dxfId="31" priority="19" operator="equal">
      <formula>"-"</formula>
    </cfRule>
  </conditionalFormatting>
  <conditionalFormatting sqref="L70">
    <cfRule type="cellIs" dxfId="30" priority="17" operator="equal">
      <formula>0</formula>
    </cfRule>
  </conditionalFormatting>
  <conditionalFormatting sqref="E25">
    <cfRule type="cellIs" dxfId="29" priority="10" operator="equal">
      <formula>"ne"</formula>
    </cfRule>
  </conditionalFormatting>
  <conditionalFormatting sqref="H25:K25">
    <cfRule type="cellIs" dxfId="28" priority="8" operator="between">
      <formula>0.0001</formula>
      <formula>1000</formula>
    </cfRule>
    <cfRule type="cellIs" dxfId="27" priority="9" operator="equal">
      <formula>"-"</formula>
    </cfRule>
  </conditionalFormatting>
  <conditionalFormatting sqref="E24:E25">
    <cfRule type="cellIs" dxfId="26" priority="7" operator="equal">
      <formula>"ne"</formula>
    </cfRule>
  </conditionalFormatting>
  <conditionalFormatting sqref="H24:K25">
    <cfRule type="cellIs" dxfId="25" priority="5" operator="between">
      <formula>0.0001</formula>
      <formula>1000</formula>
    </cfRule>
    <cfRule type="cellIs" dxfId="24" priority="6" operator="equal">
      <formula>"-"</formula>
    </cfRule>
  </conditionalFormatting>
  <conditionalFormatting sqref="L24:L25">
    <cfRule type="cellIs" dxfId="2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F55D5-CD00-472A-9871-5CF86C795C68}">
  <dimension ref="A1:Y73"/>
  <sheetViews>
    <sheetView zoomScale="115" zoomScaleNormal="115" workbookViewId="0">
      <pane ySplit="2" topLeftCell="A10" activePane="bottomLeft" state="frozen"/>
      <selection pane="bottomLeft" activeCell="J26" sqref="J26"/>
    </sheetView>
  </sheetViews>
  <sheetFormatPr defaultColWidth="9.140625" defaultRowHeight="15" x14ac:dyDescent="0.25"/>
  <cols>
    <col min="1" max="1" width="9.140625" style="4"/>
    <col min="2" max="5" width="5" style="4" customWidth="1"/>
    <col min="6" max="6" width="10.28515625" style="4" customWidth="1"/>
    <col min="7" max="7" width="11" style="8" bestFit="1" customWidth="1"/>
    <col min="8" max="8" width="11.140625" style="4" customWidth="1"/>
    <col min="9" max="9" width="45.7109375" style="4" customWidth="1"/>
    <col min="10" max="10" width="36.28515625" style="4" customWidth="1"/>
    <col min="11" max="11" width="46.7109375" style="4" bestFit="1" customWidth="1"/>
    <col min="12" max="12" width="9.140625" style="4" bestFit="1"/>
    <col min="13" max="13" width="10.28515625" style="66" customWidth="1"/>
    <col min="14" max="14" width="12.140625" style="4" hidden="1" customWidth="1"/>
    <col min="15" max="19" width="8.5703125" style="4" customWidth="1"/>
    <col min="20" max="20" width="11.42578125" style="4" hidden="1" customWidth="1"/>
    <col min="21" max="24" width="8.5703125" style="4" customWidth="1"/>
    <col min="25" max="16384" width="9.140625" style="4"/>
  </cols>
  <sheetData>
    <row r="1" spans="1:25" ht="30" x14ac:dyDescent="0.25">
      <c r="A1" s="16" t="s">
        <v>321</v>
      </c>
      <c r="B1" s="367" t="s">
        <v>322</v>
      </c>
      <c r="C1" s="368"/>
      <c r="D1" s="368"/>
      <c r="E1" s="368"/>
      <c r="F1" s="29" t="s">
        <v>323</v>
      </c>
      <c r="G1" s="17" t="s">
        <v>43</v>
      </c>
      <c r="H1" s="17" t="s">
        <v>324</v>
      </c>
      <c r="I1" s="16" t="s">
        <v>44</v>
      </c>
      <c r="J1" s="16" t="s">
        <v>45</v>
      </c>
      <c r="K1" s="16" t="s">
        <v>325</v>
      </c>
      <c r="L1" s="17" t="s">
        <v>48</v>
      </c>
      <c r="M1" s="29" t="s">
        <v>278</v>
      </c>
      <c r="N1" s="17" t="s">
        <v>50</v>
      </c>
      <c r="O1" s="368" t="s">
        <v>311</v>
      </c>
      <c r="P1" s="368"/>
      <c r="Q1" s="368"/>
      <c r="R1" s="368"/>
      <c r="S1" s="368"/>
      <c r="T1" s="17" t="s">
        <v>326</v>
      </c>
      <c r="U1" s="368" t="s">
        <v>327</v>
      </c>
      <c r="V1" s="368"/>
      <c r="W1" s="368"/>
      <c r="X1" s="368"/>
      <c r="Y1" s="368"/>
    </row>
    <row r="2" spans="1:25" s="18" customFormat="1" ht="36.75" thickBot="1" x14ac:dyDescent="0.3">
      <c r="B2" s="18" t="s">
        <v>94</v>
      </c>
      <c r="C2" s="18" t="s">
        <v>95</v>
      </c>
      <c r="D2" s="18" t="s">
        <v>96</v>
      </c>
      <c r="E2" s="18" t="s">
        <v>97</v>
      </c>
      <c r="F2" s="26" t="s">
        <v>328</v>
      </c>
      <c r="G2" s="27"/>
      <c r="H2" s="26" t="s">
        <v>55</v>
      </c>
      <c r="K2" s="19"/>
      <c r="L2" s="26" t="s">
        <v>329</v>
      </c>
      <c r="M2" s="26" t="s">
        <v>286</v>
      </c>
      <c r="N2" s="18" t="s">
        <v>57</v>
      </c>
      <c r="O2" s="18" t="s">
        <v>94</v>
      </c>
      <c r="P2" s="18" t="s">
        <v>95</v>
      </c>
      <c r="Q2" s="18" t="s">
        <v>96</v>
      </c>
      <c r="R2" s="18" t="s">
        <v>97</v>
      </c>
      <c r="S2" s="77" t="s">
        <v>330</v>
      </c>
      <c r="T2" s="18" t="s">
        <v>57</v>
      </c>
      <c r="U2" s="18" t="s">
        <v>94</v>
      </c>
      <c r="V2" s="18" t="s">
        <v>95</v>
      </c>
      <c r="W2" s="18" t="s">
        <v>96</v>
      </c>
      <c r="X2" s="18" t="s">
        <v>97</v>
      </c>
      <c r="Y2" s="18" t="s">
        <v>283</v>
      </c>
    </row>
    <row r="3" spans="1:25" s="66" customFormat="1" ht="30" x14ac:dyDescent="0.25">
      <c r="F3" s="62"/>
      <c r="G3" s="8" t="s">
        <v>100</v>
      </c>
      <c r="H3" s="63" t="s">
        <v>99</v>
      </c>
      <c r="I3" s="64" t="s">
        <v>101</v>
      </c>
      <c r="J3" s="5" t="s">
        <v>331</v>
      </c>
      <c r="K3" s="92"/>
      <c r="L3" s="88" t="s">
        <v>103</v>
      </c>
      <c r="M3" s="87"/>
      <c r="S3" s="29"/>
    </row>
    <row r="4" spans="1:25" x14ac:dyDescent="0.25">
      <c r="G4" s="31" t="s">
        <v>104</v>
      </c>
      <c r="H4" s="32" t="s">
        <v>99</v>
      </c>
      <c r="I4" s="9" t="s">
        <v>101</v>
      </c>
      <c r="J4" s="5" t="s">
        <v>105</v>
      </c>
      <c r="K4" s="93" t="s">
        <v>332</v>
      </c>
      <c r="L4" s="4" t="s">
        <v>103</v>
      </c>
      <c r="N4" s="80"/>
      <c r="O4" s="73">
        <f>IF($M4="ne","-",)</f>
        <v>0</v>
      </c>
      <c r="P4" s="73">
        <f>IF($M4="ne","-",)</f>
        <v>0</v>
      </c>
      <c r="Q4" s="73">
        <f>IF($M4="ne","-",)</f>
        <v>0</v>
      </c>
      <c r="R4" s="73">
        <f>IF($M4="ne","-",)</f>
        <v>0</v>
      </c>
      <c r="S4" s="78">
        <f t="shared" ref="S4:S35" si="0">IF($M4="ne","-",O4+P4+Q4+R4)</f>
        <v>0</v>
      </c>
      <c r="T4" s="4">
        <f t="shared" ref="T4:T26" si="1">S4*N4</f>
        <v>0</v>
      </c>
    </row>
    <row r="5" spans="1:25" x14ac:dyDescent="0.25">
      <c r="D5" s="91"/>
      <c r="G5" s="31" t="s">
        <v>106</v>
      </c>
      <c r="H5" s="32" t="s">
        <v>99</v>
      </c>
      <c r="I5" s="4" t="s">
        <v>101</v>
      </c>
      <c r="J5" s="5" t="s">
        <v>333</v>
      </c>
      <c r="K5" s="93" t="s">
        <v>334</v>
      </c>
      <c r="L5" s="4" t="s">
        <v>103</v>
      </c>
      <c r="N5" s="80"/>
      <c r="O5" s="73">
        <v>0</v>
      </c>
      <c r="P5" s="73">
        <f t="shared" ref="P5:R15" si="2">IF($M5="ne","-",)</f>
        <v>0</v>
      </c>
      <c r="Q5" s="73">
        <f t="shared" si="2"/>
        <v>0</v>
      </c>
      <c r="R5" s="73">
        <f t="shared" si="2"/>
        <v>0</v>
      </c>
      <c r="S5" s="78">
        <f t="shared" si="0"/>
        <v>0</v>
      </c>
      <c r="T5" s="4">
        <f t="shared" si="1"/>
        <v>0</v>
      </c>
    </row>
    <row r="6" spans="1:25" x14ac:dyDescent="0.25">
      <c r="D6" s="91"/>
      <c r="G6" s="31" t="s">
        <v>114</v>
      </c>
      <c r="H6" s="32" t="s">
        <v>99</v>
      </c>
      <c r="I6" s="4" t="s">
        <v>101</v>
      </c>
      <c r="J6" s="5" t="s">
        <v>115</v>
      </c>
      <c r="K6" s="93"/>
      <c r="L6" s="4" t="s">
        <v>103</v>
      </c>
      <c r="N6" s="80"/>
      <c r="O6" s="73">
        <f t="shared" ref="O6:O37" si="3">IF($M6="ne","-",)</f>
        <v>0</v>
      </c>
      <c r="P6" s="73">
        <f t="shared" si="2"/>
        <v>0</v>
      </c>
      <c r="Q6" s="73">
        <f t="shared" si="2"/>
        <v>0</v>
      </c>
      <c r="R6" s="73">
        <f t="shared" si="2"/>
        <v>0</v>
      </c>
      <c r="S6" s="78">
        <f t="shared" si="0"/>
        <v>0</v>
      </c>
      <c r="T6" s="4">
        <f t="shared" si="1"/>
        <v>0</v>
      </c>
    </row>
    <row r="7" spans="1:25" x14ac:dyDescent="0.25">
      <c r="D7" s="91"/>
      <c r="G7" s="31" t="s">
        <v>116</v>
      </c>
      <c r="H7" s="32" t="s">
        <v>99</v>
      </c>
      <c r="I7" s="4" t="s">
        <v>101</v>
      </c>
      <c r="J7" s="5" t="s">
        <v>117</v>
      </c>
      <c r="K7" s="93"/>
      <c r="L7" s="4" t="s">
        <v>103</v>
      </c>
      <c r="N7" s="80"/>
      <c r="O7" s="73">
        <f t="shared" si="3"/>
        <v>0</v>
      </c>
      <c r="P7" s="73">
        <f t="shared" si="2"/>
        <v>0</v>
      </c>
      <c r="Q7" s="73">
        <f t="shared" si="2"/>
        <v>0</v>
      </c>
      <c r="R7" s="73">
        <f t="shared" si="2"/>
        <v>0</v>
      </c>
      <c r="S7" s="78">
        <f t="shared" si="0"/>
        <v>0</v>
      </c>
      <c r="T7" s="4">
        <f t="shared" si="1"/>
        <v>0</v>
      </c>
    </row>
    <row r="8" spans="1:25" x14ac:dyDescent="0.25">
      <c r="D8" s="91"/>
      <c r="G8" s="31" t="s">
        <v>118</v>
      </c>
      <c r="H8" s="32" t="s">
        <v>99</v>
      </c>
      <c r="I8" s="4" t="s">
        <v>101</v>
      </c>
      <c r="J8" s="5" t="s">
        <v>119</v>
      </c>
      <c r="K8" s="93"/>
      <c r="L8" s="4" t="s">
        <v>103</v>
      </c>
      <c r="N8" s="80"/>
      <c r="O8" s="73">
        <f t="shared" si="3"/>
        <v>0</v>
      </c>
      <c r="P8" s="73">
        <f t="shared" si="2"/>
        <v>0</v>
      </c>
      <c r="Q8" s="73">
        <f t="shared" si="2"/>
        <v>0</v>
      </c>
      <c r="R8" s="73">
        <f t="shared" si="2"/>
        <v>0</v>
      </c>
      <c r="S8" s="78">
        <f t="shared" si="0"/>
        <v>0</v>
      </c>
      <c r="T8" s="4">
        <f t="shared" si="1"/>
        <v>0</v>
      </c>
    </row>
    <row r="9" spans="1:25" x14ac:dyDescent="0.25">
      <c r="G9" s="31" t="s">
        <v>120</v>
      </c>
      <c r="H9" s="32" t="s">
        <v>99</v>
      </c>
      <c r="I9" s="4" t="s">
        <v>101</v>
      </c>
      <c r="J9" s="5" t="s">
        <v>121</v>
      </c>
      <c r="K9" s="93"/>
      <c r="L9" s="4" t="s">
        <v>74</v>
      </c>
      <c r="N9" s="80"/>
      <c r="O9" s="73">
        <f t="shared" si="3"/>
        <v>0</v>
      </c>
      <c r="P9" s="73">
        <f t="shared" si="2"/>
        <v>0</v>
      </c>
      <c r="Q9" s="73">
        <f t="shared" si="2"/>
        <v>0</v>
      </c>
      <c r="R9" s="73">
        <f t="shared" si="2"/>
        <v>0</v>
      </c>
      <c r="S9" s="78">
        <f t="shared" si="0"/>
        <v>0</v>
      </c>
      <c r="T9" s="4">
        <f t="shared" si="1"/>
        <v>0</v>
      </c>
    </row>
    <row r="10" spans="1:25" x14ac:dyDescent="0.25">
      <c r="G10" s="31" t="s">
        <v>122</v>
      </c>
      <c r="H10" s="32" t="s">
        <v>99</v>
      </c>
      <c r="I10" s="4" t="s">
        <v>101</v>
      </c>
      <c r="J10" s="5" t="s">
        <v>123</v>
      </c>
      <c r="K10" s="93"/>
      <c r="L10" s="4" t="s">
        <v>74</v>
      </c>
      <c r="N10" s="80"/>
      <c r="O10" s="73">
        <f t="shared" si="3"/>
        <v>0</v>
      </c>
      <c r="P10" s="73">
        <f t="shared" si="2"/>
        <v>0</v>
      </c>
      <c r="Q10" s="73">
        <f t="shared" si="2"/>
        <v>0</v>
      </c>
      <c r="R10" s="73">
        <f t="shared" si="2"/>
        <v>0</v>
      </c>
      <c r="S10" s="78">
        <f t="shared" si="0"/>
        <v>0</v>
      </c>
      <c r="T10" s="4">
        <f t="shared" si="1"/>
        <v>0</v>
      </c>
    </row>
    <row r="11" spans="1:25" x14ac:dyDescent="0.25">
      <c r="G11" s="31" t="s">
        <v>124</v>
      </c>
      <c r="H11" s="32" t="s">
        <v>99</v>
      </c>
      <c r="I11" s="4" t="s">
        <v>101</v>
      </c>
      <c r="J11" s="5" t="s">
        <v>125</v>
      </c>
      <c r="K11" s="93"/>
      <c r="L11" s="4" t="s">
        <v>103</v>
      </c>
      <c r="N11" s="80"/>
      <c r="O11" s="73">
        <f t="shared" si="3"/>
        <v>0</v>
      </c>
      <c r="P11" s="73">
        <f t="shared" si="2"/>
        <v>0</v>
      </c>
      <c r="Q11" s="73">
        <f t="shared" si="2"/>
        <v>0</v>
      </c>
      <c r="R11" s="73">
        <f t="shared" si="2"/>
        <v>0</v>
      </c>
      <c r="S11" s="78">
        <f t="shared" si="0"/>
        <v>0</v>
      </c>
      <c r="T11" s="4">
        <f t="shared" si="1"/>
        <v>0</v>
      </c>
    </row>
    <row r="12" spans="1:25" x14ac:dyDescent="0.25">
      <c r="G12" s="31" t="s">
        <v>126</v>
      </c>
      <c r="H12" s="32" t="s">
        <v>99</v>
      </c>
      <c r="I12" s="4" t="s">
        <v>101</v>
      </c>
      <c r="J12" s="5" t="s">
        <v>127</v>
      </c>
      <c r="K12" s="93"/>
      <c r="L12" s="4" t="s">
        <v>103</v>
      </c>
      <c r="N12" s="80"/>
      <c r="O12" s="73">
        <f t="shared" si="3"/>
        <v>0</v>
      </c>
      <c r="P12" s="73">
        <f t="shared" si="2"/>
        <v>0</v>
      </c>
      <c r="Q12" s="73">
        <f t="shared" si="2"/>
        <v>0</v>
      </c>
      <c r="R12" s="73">
        <f t="shared" si="2"/>
        <v>0</v>
      </c>
      <c r="S12" s="78">
        <f t="shared" si="0"/>
        <v>0</v>
      </c>
      <c r="T12" s="4">
        <f t="shared" si="1"/>
        <v>0</v>
      </c>
    </row>
    <row r="13" spans="1:25" s="33" customFormat="1" x14ac:dyDescent="0.25">
      <c r="G13" s="34" t="s">
        <v>128</v>
      </c>
      <c r="H13" s="35" t="s">
        <v>99</v>
      </c>
      <c r="I13" s="33" t="s">
        <v>101</v>
      </c>
      <c r="J13" s="6" t="s">
        <v>129</v>
      </c>
      <c r="K13" s="94"/>
      <c r="L13" s="33" t="s">
        <v>103</v>
      </c>
      <c r="M13" s="67"/>
      <c r="N13" s="81"/>
      <c r="O13" s="75">
        <f t="shared" si="3"/>
        <v>0</v>
      </c>
      <c r="P13" s="75">
        <f t="shared" si="2"/>
        <v>0</v>
      </c>
      <c r="Q13" s="75">
        <f t="shared" si="2"/>
        <v>0</v>
      </c>
      <c r="R13" s="75">
        <f t="shared" si="2"/>
        <v>0</v>
      </c>
      <c r="S13" s="79">
        <f t="shared" si="0"/>
        <v>0</v>
      </c>
      <c r="T13" s="33">
        <f t="shared" si="1"/>
        <v>0</v>
      </c>
    </row>
    <row r="14" spans="1:25" s="36" customFormat="1" x14ac:dyDescent="0.25">
      <c r="F14" s="4"/>
      <c r="G14" s="41" t="s">
        <v>130</v>
      </c>
      <c r="H14" s="37" t="s">
        <v>99</v>
      </c>
      <c r="I14" s="10" t="s">
        <v>131</v>
      </c>
      <c r="J14" s="7" t="s">
        <v>132</v>
      </c>
      <c r="K14" s="95"/>
      <c r="L14" s="36" t="s">
        <v>63</v>
      </c>
      <c r="M14" s="68"/>
      <c r="N14" s="82"/>
      <c r="O14" s="73">
        <f t="shared" si="3"/>
        <v>0</v>
      </c>
      <c r="P14" s="73">
        <f t="shared" si="2"/>
        <v>0</v>
      </c>
      <c r="Q14" s="73">
        <f t="shared" si="2"/>
        <v>0</v>
      </c>
      <c r="R14" s="73">
        <f t="shared" si="2"/>
        <v>0</v>
      </c>
      <c r="S14" s="78">
        <f t="shared" si="0"/>
        <v>0</v>
      </c>
      <c r="T14" s="36">
        <f t="shared" si="1"/>
        <v>0</v>
      </c>
    </row>
    <row r="15" spans="1:25" s="33" customFormat="1" x14ac:dyDescent="0.25">
      <c r="G15" s="34" t="s">
        <v>133</v>
      </c>
      <c r="H15" s="35" t="s">
        <v>99</v>
      </c>
      <c r="I15" s="3" t="s">
        <v>131</v>
      </c>
      <c r="J15" s="11" t="s">
        <v>134</v>
      </c>
      <c r="K15" s="94"/>
      <c r="L15" s="33" t="s">
        <v>63</v>
      </c>
      <c r="M15" s="67"/>
      <c r="N15" s="81"/>
      <c r="O15" s="75">
        <f t="shared" si="3"/>
        <v>0</v>
      </c>
      <c r="P15" s="75">
        <f t="shared" si="2"/>
        <v>0</v>
      </c>
      <c r="Q15" s="75">
        <f t="shared" si="2"/>
        <v>0</v>
      </c>
      <c r="R15" s="75">
        <f t="shared" si="2"/>
        <v>0</v>
      </c>
      <c r="S15" s="79">
        <f t="shared" si="0"/>
        <v>0</v>
      </c>
      <c r="T15" s="33">
        <f t="shared" si="1"/>
        <v>0</v>
      </c>
    </row>
    <row r="16" spans="1:25" s="36" customFormat="1" x14ac:dyDescent="0.25">
      <c r="F16" s="4"/>
      <c r="G16" s="41" t="s">
        <v>135</v>
      </c>
      <c r="H16" s="37" t="s">
        <v>99</v>
      </c>
      <c r="I16" s="10" t="s">
        <v>136</v>
      </c>
      <c r="J16" s="7" t="s">
        <v>137</v>
      </c>
      <c r="K16" s="95" t="s">
        <v>335</v>
      </c>
      <c r="L16" s="36" t="s">
        <v>63</v>
      </c>
      <c r="M16" s="68"/>
      <c r="N16" s="82"/>
      <c r="O16" s="73">
        <f t="shared" si="3"/>
        <v>0</v>
      </c>
      <c r="P16" s="73">
        <f t="shared" ref="P16:P55" si="4">IF($M16="ne","-",)</f>
        <v>0</v>
      </c>
      <c r="Q16" s="73">
        <v>0</v>
      </c>
      <c r="R16" s="73">
        <v>0</v>
      </c>
      <c r="S16" s="78">
        <f t="shared" si="0"/>
        <v>0</v>
      </c>
      <c r="T16" s="36">
        <f t="shared" si="1"/>
        <v>0</v>
      </c>
    </row>
    <row r="17" spans="6:23" x14ac:dyDescent="0.25">
      <c r="G17" s="31" t="s">
        <v>135</v>
      </c>
      <c r="H17" s="32" t="s">
        <v>99</v>
      </c>
      <c r="I17" s="9" t="s">
        <v>136</v>
      </c>
      <c r="J17" s="8" t="s">
        <v>139</v>
      </c>
      <c r="K17" s="93"/>
      <c r="L17" s="4" t="s">
        <v>63</v>
      </c>
      <c r="N17" s="80"/>
      <c r="O17" s="73">
        <f t="shared" si="3"/>
        <v>0</v>
      </c>
      <c r="P17" s="73">
        <f t="shared" si="4"/>
        <v>0</v>
      </c>
      <c r="Q17" s="73">
        <f t="shared" ref="Q17:R36" si="5">IF($M17="ne","-",)</f>
        <v>0</v>
      </c>
      <c r="R17" s="73">
        <f t="shared" si="5"/>
        <v>0</v>
      </c>
      <c r="S17" s="78">
        <f t="shared" si="0"/>
        <v>0</v>
      </c>
      <c r="T17" s="4">
        <f t="shared" si="1"/>
        <v>0</v>
      </c>
    </row>
    <row r="18" spans="6:23" s="33" customFormat="1" x14ac:dyDescent="0.25">
      <c r="G18" s="34" t="s">
        <v>140</v>
      </c>
      <c r="H18" s="35" t="s">
        <v>99</v>
      </c>
      <c r="I18" s="3" t="s">
        <v>136</v>
      </c>
      <c r="J18" s="33" t="s">
        <v>141</v>
      </c>
      <c r="K18" s="94"/>
      <c r="L18" s="33" t="s">
        <v>63</v>
      </c>
      <c r="M18" s="67"/>
      <c r="N18" s="81"/>
      <c r="O18" s="75">
        <f t="shared" si="3"/>
        <v>0</v>
      </c>
      <c r="P18" s="73">
        <f t="shared" si="4"/>
        <v>0</v>
      </c>
      <c r="Q18" s="73">
        <f t="shared" si="5"/>
        <v>0</v>
      </c>
      <c r="R18" s="73">
        <f t="shared" si="5"/>
        <v>0</v>
      </c>
      <c r="S18" s="79">
        <f t="shared" si="0"/>
        <v>0</v>
      </c>
      <c r="T18" s="33">
        <f t="shared" si="1"/>
        <v>0</v>
      </c>
    </row>
    <row r="19" spans="6:23" s="40" customFormat="1" x14ac:dyDescent="0.25">
      <c r="F19" s="33"/>
      <c r="G19" s="38" t="s">
        <v>142</v>
      </c>
      <c r="H19" s="39" t="s">
        <v>99</v>
      </c>
      <c r="I19" s="12" t="s">
        <v>143</v>
      </c>
      <c r="J19" s="12" t="s">
        <v>143</v>
      </c>
      <c r="K19" s="96"/>
      <c r="L19" s="40" t="s">
        <v>74</v>
      </c>
      <c r="M19" s="69"/>
      <c r="N19" s="83"/>
      <c r="O19" s="76">
        <f t="shared" si="3"/>
        <v>0</v>
      </c>
      <c r="P19" s="76">
        <f t="shared" si="4"/>
        <v>0</v>
      </c>
      <c r="Q19" s="76">
        <f t="shared" si="5"/>
        <v>0</v>
      </c>
      <c r="R19" s="76">
        <f t="shared" si="5"/>
        <v>0</v>
      </c>
      <c r="S19" s="79">
        <f t="shared" si="0"/>
        <v>0</v>
      </c>
      <c r="T19" s="40">
        <f t="shared" si="1"/>
        <v>0</v>
      </c>
    </row>
    <row r="20" spans="6:23" s="40" customFormat="1" x14ac:dyDescent="0.25">
      <c r="F20" s="33"/>
      <c r="G20" s="38" t="s">
        <v>146</v>
      </c>
      <c r="H20" s="39" t="s">
        <v>99</v>
      </c>
      <c r="I20" s="12" t="s">
        <v>147</v>
      </c>
      <c r="J20" s="12" t="s">
        <v>147</v>
      </c>
      <c r="K20" s="96" t="s">
        <v>336</v>
      </c>
      <c r="L20" s="40" t="s">
        <v>74</v>
      </c>
      <c r="M20" s="69"/>
      <c r="N20" s="83"/>
      <c r="O20" s="76">
        <f t="shared" si="3"/>
        <v>0</v>
      </c>
      <c r="P20" s="76">
        <f t="shared" si="4"/>
        <v>0</v>
      </c>
      <c r="Q20" s="76">
        <f t="shared" si="5"/>
        <v>0</v>
      </c>
      <c r="R20" s="76">
        <f t="shared" si="5"/>
        <v>0</v>
      </c>
      <c r="S20" s="79">
        <f t="shared" si="0"/>
        <v>0</v>
      </c>
      <c r="T20" s="40">
        <f t="shared" si="1"/>
        <v>0</v>
      </c>
    </row>
    <row r="21" spans="6:23" x14ac:dyDescent="0.25">
      <c r="G21" s="31" t="s">
        <v>59</v>
      </c>
      <c r="H21" s="43" t="s">
        <v>58</v>
      </c>
      <c r="I21" s="9" t="s">
        <v>150</v>
      </c>
      <c r="J21" s="5" t="s">
        <v>61</v>
      </c>
      <c r="K21" s="93"/>
      <c r="L21" s="4" t="s">
        <v>63</v>
      </c>
      <c r="N21" s="80"/>
      <c r="O21" s="73">
        <f t="shared" si="3"/>
        <v>0</v>
      </c>
      <c r="P21" s="73">
        <f t="shared" si="4"/>
        <v>0</v>
      </c>
      <c r="Q21" s="73">
        <f t="shared" si="5"/>
        <v>0</v>
      </c>
      <c r="R21" s="73">
        <f t="shared" si="5"/>
        <v>0</v>
      </c>
      <c r="S21" s="78">
        <f t="shared" si="0"/>
        <v>0</v>
      </c>
      <c r="T21" s="4">
        <f t="shared" si="1"/>
        <v>0</v>
      </c>
    </row>
    <row r="22" spans="6:23" x14ac:dyDescent="0.25">
      <c r="G22" s="31" t="s">
        <v>152</v>
      </c>
      <c r="H22" s="43" t="s">
        <v>58</v>
      </c>
      <c r="I22" s="4" t="s">
        <v>150</v>
      </c>
      <c r="J22" s="5" t="s">
        <v>153</v>
      </c>
      <c r="K22" s="93"/>
      <c r="L22" s="4" t="s">
        <v>63</v>
      </c>
      <c r="N22" s="80"/>
      <c r="O22" s="73">
        <f t="shared" si="3"/>
        <v>0</v>
      </c>
      <c r="P22" s="73">
        <f t="shared" si="4"/>
        <v>0</v>
      </c>
      <c r="Q22" s="73">
        <f t="shared" si="5"/>
        <v>0</v>
      </c>
      <c r="R22" s="73">
        <f t="shared" si="5"/>
        <v>0</v>
      </c>
      <c r="S22" s="78">
        <f t="shared" si="0"/>
        <v>0</v>
      </c>
      <c r="T22" s="4">
        <f t="shared" si="1"/>
        <v>0</v>
      </c>
    </row>
    <row r="23" spans="6:23" x14ac:dyDescent="0.25">
      <c r="G23" s="31" t="s">
        <v>155</v>
      </c>
      <c r="H23" s="43" t="s">
        <v>58</v>
      </c>
      <c r="I23" s="4" t="s">
        <v>150</v>
      </c>
      <c r="J23" s="5" t="s">
        <v>156</v>
      </c>
      <c r="K23" s="93"/>
      <c r="L23" s="4" t="s">
        <v>63</v>
      </c>
      <c r="N23" s="80"/>
      <c r="O23" s="73">
        <f t="shared" si="3"/>
        <v>0</v>
      </c>
      <c r="P23" s="73">
        <f t="shared" si="4"/>
        <v>0</v>
      </c>
      <c r="Q23" s="73">
        <f t="shared" si="5"/>
        <v>0</v>
      </c>
      <c r="R23" s="73">
        <f t="shared" si="5"/>
        <v>0</v>
      </c>
      <c r="S23" s="78">
        <f t="shared" si="0"/>
        <v>0</v>
      </c>
      <c r="T23" s="4">
        <f t="shared" si="1"/>
        <v>0</v>
      </c>
    </row>
    <row r="24" spans="6:23" x14ac:dyDescent="0.25">
      <c r="G24" s="31" t="s">
        <v>64</v>
      </c>
      <c r="H24" s="43" t="s">
        <v>58</v>
      </c>
      <c r="I24" s="4" t="s">
        <v>150</v>
      </c>
      <c r="J24" s="5" t="s">
        <v>65</v>
      </c>
      <c r="K24" s="93"/>
      <c r="L24" s="4" t="s">
        <v>63</v>
      </c>
      <c r="N24" s="80"/>
      <c r="O24" s="73">
        <f t="shared" si="3"/>
        <v>0</v>
      </c>
      <c r="P24" s="73">
        <f t="shared" si="4"/>
        <v>0</v>
      </c>
      <c r="Q24" s="73">
        <f t="shared" si="5"/>
        <v>0</v>
      </c>
      <c r="R24" s="73">
        <f t="shared" si="5"/>
        <v>0</v>
      </c>
      <c r="S24" s="78">
        <f t="shared" si="0"/>
        <v>0</v>
      </c>
      <c r="T24" s="4">
        <f t="shared" si="1"/>
        <v>0</v>
      </c>
    </row>
    <row r="25" spans="6:23" x14ac:dyDescent="0.25">
      <c r="G25" s="31" t="s">
        <v>67</v>
      </c>
      <c r="H25" s="43" t="s">
        <v>58</v>
      </c>
      <c r="I25" s="4" t="s">
        <v>150</v>
      </c>
      <c r="J25" s="5" t="s">
        <v>68</v>
      </c>
      <c r="K25" s="93"/>
      <c r="L25" s="4" t="s">
        <v>63</v>
      </c>
      <c r="N25" s="80"/>
      <c r="O25" s="73">
        <f t="shared" si="3"/>
        <v>0</v>
      </c>
      <c r="P25" s="73">
        <f t="shared" si="4"/>
        <v>0</v>
      </c>
      <c r="Q25" s="73">
        <f t="shared" si="5"/>
        <v>0</v>
      </c>
      <c r="R25" s="73">
        <f t="shared" si="5"/>
        <v>0</v>
      </c>
      <c r="S25" s="78">
        <f t="shared" si="0"/>
        <v>0</v>
      </c>
      <c r="T25" s="4">
        <f t="shared" si="1"/>
        <v>0</v>
      </c>
    </row>
    <row r="26" spans="6:23" s="33" customFormat="1" x14ac:dyDescent="0.25">
      <c r="G26" s="34" t="s">
        <v>157</v>
      </c>
      <c r="H26" s="44" t="s">
        <v>58</v>
      </c>
      <c r="I26" s="33" t="s">
        <v>150</v>
      </c>
      <c r="J26" s="11" t="s">
        <v>158</v>
      </c>
      <c r="K26" s="94"/>
      <c r="L26" s="33" t="s">
        <v>63</v>
      </c>
      <c r="M26" s="66"/>
      <c r="N26" s="81"/>
      <c r="O26" s="73">
        <f t="shared" si="3"/>
        <v>0</v>
      </c>
      <c r="P26" s="73">
        <f t="shared" si="4"/>
        <v>0</v>
      </c>
      <c r="Q26" s="73">
        <f t="shared" si="5"/>
        <v>0</v>
      </c>
      <c r="R26" s="73">
        <f t="shared" si="5"/>
        <v>0</v>
      </c>
      <c r="S26" s="79">
        <f t="shared" si="0"/>
        <v>0</v>
      </c>
      <c r="T26" s="33">
        <f t="shared" si="1"/>
        <v>0</v>
      </c>
    </row>
    <row r="27" spans="6:23" s="40" customFormat="1" x14ac:dyDescent="0.25">
      <c r="G27" s="38" t="s">
        <v>159</v>
      </c>
      <c r="H27" s="45" t="s">
        <v>58</v>
      </c>
      <c r="I27" s="40" t="s">
        <v>160</v>
      </c>
      <c r="J27" s="65" t="s">
        <v>161</v>
      </c>
      <c r="K27" s="96"/>
      <c r="L27" s="40" t="s">
        <v>74</v>
      </c>
      <c r="M27" s="69"/>
      <c r="N27" s="83"/>
      <c r="O27" s="76">
        <f t="shared" si="3"/>
        <v>0</v>
      </c>
      <c r="P27" s="76">
        <f t="shared" si="4"/>
        <v>0</v>
      </c>
      <c r="Q27" s="76">
        <f t="shared" si="5"/>
        <v>0</v>
      </c>
      <c r="R27" s="76">
        <f t="shared" si="5"/>
        <v>0</v>
      </c>
      <c r="S27" s="79">
        <f t="shared" si="0"/>
        <v>0</v>
      </c>
    </row>
    <row r="28" spans="6:23" x14ac:dyDescent="0.25">
      <c r="G28" s="31" t="s">
        <v>162</v>
      </c>
      <c r="H28" s="43" t="s">
        <v>58</v>
      </c>
      <c r="I28" s="9" t="s">
        <v>163</v>
      </c>
      <c r="J28" s="5" t="s">
        <v>164</v>
      </c>
      <c r="K28" s="93"/>
      <c r="L28" s="4" t="s">
        <v>103</v>
      </c>
      <c r="N28" s="80"/>
      <c r="O28" s="73">
        <f t="shared" si="3"/>
        <v>0</v>
      </c>
      <c r="P28" s="73">
        <f t="shared" si="4"/>
        <v>0</v>
      </c>
      <c r="Q28" s="73">
        <f t="shared" si="5"/>
        <v>0</v>
      </c>
      <c r="R28" s="73">
        <f t="shared" si="5"/>
        <v>0</v>
      </c>
      <c r="S28" s="78">
        <f t="shared" si="0"/>
        <v>0</v>
      </c>
      <c r="T28" s="4">
        <f t="shared" ref="T28:T44" si="6">S28*N28</f>
        <v>0</v>
      </c>
    </row>
    <row r="29" spans="6:23" x14ac:dyDescent="0.25">
      <c r="G29" s="31" t="s">
        <v>166</v>
      </c>
      <c r="H29" s="43" t="s">
        <v>58</v>
      </c>
      <c r="I29" s="4" t="s">
        <v>163</v>
      </c>
      <c r="J29" s="5" t="s">
        <v>167</v>
      </c>
      <c r="K29" s="93"/>
      <c r="L29" s="4" t="s">
        <v>103</v>
      </c>
      <c r="N29" s="80"/>
      <c r="O29" s="73">
        <f t="shared" si="3"/>
        <v>0</v>
      </c>
      <c r="P29" s="73">
        <f t="shared" si="4"/>
        <v>0</v>
      </c>
      <c r="Q29" s="73">
        <f t="shared" si="5"/>
        <v>0</v>
      </c>
      <c r="R29" s="73">
        <f t="shared" si="5"/>
        <v>0</v>
      </c>
      <c r="S29" s="78">
        <f t="shared" si="0"/>
        <v>0</v>
      </c>
      <c r="T29" s="4">
        <f t="shared" si="6"/>
        <v>0</v>
      </c>
      <c r="W29" s="4" t="s">
        <v>40</v>
      </c>
    </row>
    <row r="30" spans="6:23" x14ac:dyDescent="0.25">
      <c r="G30" s="31" t="s">
        <v>169</v>
      </c>
      <c r="H30" s="43" t="s">
        <v>58</v>
      </c>
      <c r="I30" s="4" t="s">
        <v>163</v>
      </c>
      <c r="J30" s="5" t="s">
        <v>170</v>
      </c>
      <c r="K30" s="93"/>
      <c r="L30" s="4" t="s">
        <v>103</v>
      </c>
      <c r="N30" s="80"/>
      <c r="O30" s="73">
        <f t="shared" si="3"/>
        <v>0</v>
      </c>
      <c r="P30" s="73">
        <f t="shared" si="4"/>
        <v>0</v>
      </c>
      <c r="Q30" s="73">
        <f t="shared" si="5"/>
        <v>0</v>
      </c>
      <c r="R30" s="73">
        <f t="shared" si="5"/>
        <v>0</v>
      </c>
      <c r="S30" s="78">
        <f t="shared" si="0"/>
        <v>0</v>
      </c>
      <c r="T30" s="4">
        <f t="shared" si="6"/>
        <v>0</v>
      </c>
    </row>
    <row r="31" spans="6:23" s="33" customFormat="1" x14ac:dyDescent="0.25">
      <c r="G31" s="31" t="s">
        <v>171</v>
      </c>
      <c r="H31" s="44" t="s">
        <v>58</v>
      </c>
      <c r="I31" s="33" t="s">
        <v>163</v>
      </c>
      <c r="J31" s="6" t="s">
        <v>172</v>
      </c>
      <c r="K31" s="94"/>
      <c r="L31" s="33" t="s">
        <v>103</v>
      </c>
      <c r="M31" s="67"/>
      <c r="N31" s="81"/>
      <c r="O31" s="75">
        <f t="shared" si="3"/>
        <v>0</v>
      </c>
      <c r="P31" s="75">
        <f t="shared" si="4"/>
        <v>0</v>
      </c>
      <c r="Q31" s="75">
        <f t="shared" si="5"/>
        <v>0</v>
      </c>
      <c r="R31" s="75">
        <f t="shared" si="5"/>
        <v>0</v>
      </c>
      <c r="S31" s="79">
        <f t="shared" si="0"/>
        <v>0</v>
      </c>
      <c r="T31" s="33">
        <f t="shared" si="6"/>
        <v>0</v>
      </c>
    </row>
    <row r="32" spans="6:23" s="40" customFormat="1" ht="60" x14ac:dyDescent="0.25">
      <c r="F32" s="33"/>
      <c r="G32" s="38" t="s">
        <v>173</v>
      </c>
      <c r="H32" s="45" t="s">
        <v>58</v>
      </c>
      <c r="I32" s="30" t="s">
        <v>176</v>
      </c>
      <c r="J32" s="30" t="s">
        <v>176</v>
      </c>
      <c r="K32" s="97" t="s">
        <v>337</v>
      </c>
      <c r="L32" s="40" t="s">
        <v>74</v>
      </c>
      <c r="M32" s="70"/>
      <c r="N32" s="83"/>
      <c r="O32" s="76">
        <f t="shared" si="3"/>
        <v>0</v>
      </c>
      <c r="P32" s="76">
        <f t="shared" si="4"/>
        <v>0</v>
      </c>
      <c r="Q32" s="76">
        <f t="shared" si="5"/>
        <v>0</v>
      </c>
      <c r="R32" s="76">
        <f t="shared" si="5"/>
        <v>0</v>
      </c>
      <c r="S32" s="79">
        <f t="shared" si="0"/>
        <v>0</v>
      </c>
      <c r="T32" s="40">
        <f t="shared" si="6"/>
        <v>0</v>
      </c>
    </row>
    <row r="33" spans="7:24" ht="15" customHeight="1" x14ac:dyDescent="0.25">
      <c r="G33" s="31" t="s">
        <v>177</v>
      </c>
      <c r="H33" s="48" t="s">
        <v>70</v>
      </c>
      <c r="I33" s="9" t="s">
        <v>178</v>
      </c>
      <c r="J33" s="2" t="s">
        <v>179</v>
      </c>
      <c r="K33" s="93" t="s">
        <v>338</v>
      </c>
      <c r="L33" s="4" t="s">
        <v>63</v>
      </c>
      <c r="N33" s="80">
        <v>400</v>
      </c>
      <c r="O33" s="73">
        <f t="shared" si="3"/>
        <v>0</v>
      </c>
      <c r="P33" s="73">
        <f t="shared" si="4"/>
        <v>0</v>
      </c>
      <c r="Q33" s="73">
        <f t="shared" si="5"/>
        <v>0</v>
      </c>
      <c r="R33" s="73">
        <f t="shared" si="5"/>
        <v>0</v>
      </c>
      <c r="S33" s="78">
        <f t="shared" si="0"/>
        <v>0</v>
      </c>
      <c r="T33" s="4">
        <f t="shared" si="6"/>
        <v>0</v>
      </c>
    </row>
    <row r="34" spans="7:24" x14ac:dyDescent="0.25">
      <c r="G34" s="31" t="s">
        <v>180</v>
      </c>
      <c r="H34" s="48" t="s">
        <v>70</v>
      </c>
      <c r="I34" s="4" t="s">
        <v>178</v>
      </c>
      <c r="J34" s="2" t="s">
        <v>181</v>
      </c>
      <c r="K34" s="93" t="s">
        <v>339</v>
      </c>
      <c r="L34" s="4" t="s">
        <v>63</v>
      </c>
      <c r="N34" s="80">
        <v>150</v>
      </c>
      <c r="O34" s="73">
        <f t="shared" si="3"/>
        <v>0</v>
      </c>
      <c r="P34" s="73">
        <f t="shared" si="4"/>
        <v>0</v>
      </c>
      <c r="Q34" s="73">
        <f t="shared" si="5"/>
        <v>0</v>
      </c>
      <c r="R34" s="73">
        <f t="shared" si="5"/>
        <v>0</v>
      </c>
      <c r="S34" s="78">
        <f t="shared" si="0"/>
        <v>0</v>
      </c>
      <c r="T34" s="4">
        <f t="shared" si="6"/>
        <v>0</v>
      </c>
    </row>
    <row r="35" spans="7:24" x14ac:dyDescent="0.25">
      <c r="G35" s="31" t="s">
        <v>182</v>
      </c>
      <c r="H35" s="48" t="s">
        <v>70</v>
      </c>
      <c r="I35" s="4" t="s">
        <v>178</v>
      </c>
      <c r="J35" s="2" t="s">
        <v>183</v>
      </c>
      <c r="K35" s="93" t="s">
        <v>340</v>
      </c>
      <c r="L35" s="4" t="s">
        <v>63</v>
      </c>
      <c r="N35" s="80">
        <v>150</v>
      </c>
      <c r="O35" s="73">
        <f t="shared" si="3"/>
        <v>0</v>
      </c>
      <c r="P35" s="73">
        <f t="shared" si="4"/>
        <v>0</v>
      </c>
      <c r="Q35" s="73">
        <f t="shared" si="5"/>
        <v>0</v>
      </c>
      <c r="R35" s="73">
        <f t="shared" si="5"/>
        <v>0</v>
      </c>
      <c r="S35" s="78">
        <f t="shared" si="0"/>
        <v>0</v>
      </c>
      <c r="T35" s="4">
        <f t="shared" si="6"/>
        <v>0</v>
      </c>
      <c r="X35" s="102"/>
    </row>
    <row r="36" spans="7:24" x14ac:dyDescent="0.25">
      <c r="G36" s="31" t="s">
        <v>184</v>
      </c>
      <c r="H36" s="48" t="s">
        <v>70</v>
      </c>
      <c r="I36" s="4" t="s">
        <v>178</v>
      </c>
      <c r="J36" s="2" t="s">
        <v>185</v>
      </c>
      <c r="K36" s="98" t="s">
        <v>341</v>
      </c>
      <c r="L36" s="4" t="s">
        <v>63</v>
      </c>
      <c r="N36" s="80">
        <v>100</v>
      </c>
      <c r="O36" s="73">
        <f t="shared" si="3"/>
        <v>0</v>
      </c>
      <c r="P36" s="73">
        <f t="shared" si="4"/>
        <v>0</v>
      </c>
      <c r="Q36" s="73">
        <f t="shared" si="5"/>
        <v>0</v>
      </c>
      <c r="R36" s="73">
        <f t="shared" si="5"/>
        <v>0</v>
      </c>
      <c r="S36" s="78">
        <f t="shared" ref="S36:S67" si="7">IF($M36="ne","-",O36+P36+Q36+R36)</f>
        <v>0</v>
      </c>
      <c r="T36" s="4">
        <f t="shared" si="6"/>
        <v>0</v>
      </c>
    </row>
    <row r="37" spans="7:24" x14ac:dyDescent="0.25">
      <c r="G37" s="31" t="s">
        <v>186</v>
      </c>
      <c r="H37" s="48" t="s">
        <v>70</v>
      </c>
      <c r="I37" s="4" t="s">
        <v>178</v>
      </c>
      <c r="J37" s="2" t="s">
        <v>187</v>
      </c>
      <c r="K37" s="93" t="s">
        <v>339</v>
      </c>
      <c r="L37" s="4" t="s">
        <v>63</v>
      </c>
      <c r="N37" s="80">
        <v>80</v>
      </c>
      <c r="O37" s="73">
        <f t="shared" si="3"/>
        <v>0</v>
      </c>
      <c r="P37" s="73">
        <f t="shared" si="4"/>
        <v>0</v>
      </c>
      <c r="Q37" s="73">
        <f t="shared" ref="Q37:R55" si="8">IF($M37="ne","-",)</f>
        <v>0</v>
      </c>
      <c r="R37" s="73">
        <f t="shared" si="8"/>
        <v>0</v>
      </c>
      <c r="S37" s="78">
        <f t="shared" si="7"/>
        <v>0</v>
      </c>
      <c r="T37" s="4">
        <f t="shared" si="6"/>
        <v>0</v>
      </c>
    </row>
    <row r="38" spans="7:24" x14ac:dyDescent="0.25">
      <c r="G38" s="31" t="s">
        <v>188</v>
      </c>
      <c r="H38" s="48" t="s">
        <v>70</v>
      </c>
      <c r="I38" s="4" t="s">
        <v>178</v>
      </c>
      <c r="J38" s="2" t="s">
        <v>189</v>
      </c>
      <c r="K38" s="93" t="s">
        <v>342</v>
      </c>
      <c r="L38" s="4" t="s">
        <v>63</v>
      </c>
      <c r="N38" s="80"/>
      <c r="O38" s="73">
        <f t="shared" ref="O38:O55" si="9">IF($M38="ne","-",)</f>
        <v>0</v>
      </c>
      <c r="P38" s="73">
        <f t="shared" si="4"/>
        <v>0</v>
      </c>
      <c r="Q38" s="73">
        <f t="shared" si="8"/>
        <v>0</v>
      </c>
      <c r="R38" s="73">
        <f t="shared" si="8"/>
        <v>0</v>
      </c>
      <c r="S38" s="78">
        <f t="shared" si="7"/>
        <v>0</v>
      </c>
      <c r="T38" s="4">
        <f t="shared" si="6"/>
        <v>0</v>
      </c>
    </row>
    <row r="39" spans="7:24" ht="150" x14ac:dyDescent="0.25">
      <c r="G39" s="31" t="s">
        <v>190</v>
      </c>
      <c r="H39" s="48" t="s">
        <v>70</v>
      </c>
      <c r="I39" s="4" t="s">
        <v>178</v>
      </c>
      <c r="J39" s="4" t="s">
        <v>191</v>
      </c>
      <c r="K39" s="99" t="s">
        <v>343</v>
      </c>
      <c r="L39" s="4" t="s">
        <v>63</v>
      </c>
      <c r="N39" s="80">
        <v>70</v>
      </c>
      <c r="O39" s="73">
        <f t="shared" si="9"/>
        <v>0</v>
      </c>
      <c r="P39" s="73">
        <f t="shared" si="4"/>
        <v>0</v>
      </c>
      <c r="Q39" s="73">
        <f t="shared" si="8"/>
        <v>0</v>
      </c>
      <c r="R39" s="73">
        <f t="shared" si="8"/>
        <v>0</v>
      </c>
      <c r="S39" s="78">
        <f t="shared" si="7"/>
        <v>0</v>
      </c>
      <c r="T39" s="4">
        <f t="shared" si="6"/>
        <v>0</v>
      </c>
    </row>
    <row r="40" spans="7:24" x14ac:dyDescent="0.25">
      <c r="G40" s="31" t="s">
        <v>192</v>
      </c>
      <c r="H40" s="48" t="s">
        <v>70</v>
      </c>
      <c r="I40" s="9" t="s">
        <v>193</v>
      </c>
      <c r="J40" s="8" t="s">
        <v>194</v>
      </c>
      <c r="K40" s="93"/>
      <c r="L40" s="4" t="s">
        <v>63</v>
      </c>
      <c r="N40" s="80"/>
      <c r="O40" s="73">
        <f t="shared" si="9"/>
        <v>0</v>
      </c>
      <c r="P40" s="73">
        <f t="shared" si="4"/>
        <v>0</v>
      </c>
      <c r="Q40" s="73">
        <f t="shared" si="8"/>
        <v>0</v>
      </c>
      <c r="R40" s="73">
        <f t="shared" si="8"/>
        <v>0</v>
      </c>
      <c r="S40" s="78">
        <f t="shared" si="7"/>
        <v>0</v>
      </c>
      <c r="T40" s="4">
        <f t="shared" si="6"/>
        <v>0</v>
      </c>
    </row>
    <row r="41" spans="7:24" x14ac:dyDescent="0.25">
      <c r="G41" s="31" t="s">
        <v>195</v>
      </c>
      <c r="H41" s="48" t="s">
        <v>70</v>
      </c>
      <c r="I41" s="4" t="s">
        <v>193</v>
      </c>
      <c r="J41" s="8" t="s">
        <v>196</v>
      </c>
      <c r="K41" s="98" t="s">
        <v>344</v>
      </c>
      <c r="L41" s="4" t="s">
        <v>63</v>
      </c>
      <c r="N41" s="80"/>
      <c r="O41" s="73">
        <f t="shared" si="9"/>
        <v>0</v>
      </c>
      <c r="P41" s="73">
        <f t="shared" si="4"/>
        <v>0</v>
      </c>
      <c r="Q41" s="73">
        <f t="shared" si="8"/>
        <v>0</v>
      </c>
      <c r="R41" s="73">
        <f t="shared" si="8"/>
        <v>0</v>
      </c>
      <c r="S41" s="78">
        <f t="shared" si="7"/>
        <v>0</v>
      </c>
      <c r="T41" s="4">
        <f t="shared" si="6"/>
        <v>0</v>
      </c>
    </row>
    <row r="42" spans="7:24" s="33" customFormat="1" x14ac:dyDescent="0.25">
      <c r="G42" s="34" t="s">
        <v>197</v>
      </c>
      <c r="H42" s="84" t="s">
        <v>70</v>
      </c>
      <c r="I42" s="85" t="s">
        <v>193</v>
      </c>
      <c r="J42" s="25" t="s">
        <v>198</v>
      </c>
      <c r="K42" s="94"/>
      <c r="M42" s="67"/>
      <c r="N42" s="81"/>
      <c r="O42" s="75">
        <f t="shared" si="9"/>
        <v>0</v>
      </c>
      <c r="P42" s="75">
        <f t="shared" si="4"/>
        <v>0</v>
      </c>
      <c r="Q42" s="75">
        <f t="shared" si="8"/>
        <v>0</v>
      </c>
      <c r="R42" s="75">
        <f t="shared" si="8"/>
        <v>0</v>
      </c>
      <c r="S42" s="79">
        <f t="shared" si="7"/>
        <v>0</v>
      </c>
      <c r="T42" s="33">
        <f t="shared" si="6"/>
        <v>0</v>
      </c>
    </row>
    <row r="43" spans="7:24" ht="120" x14ac:dyDescent="0.25">
      <c r="G43" s="51" t="s">
        <v>199</v>
      </c>
      <c r="H43" s="48" t="s">
        <v>70</v>
      </c>
      <c r="I43" s="22" t="s">
        <v>200</v>
      </c>
      <c r="J43" s="23" t="s">
        <v>201</v>
      </c>
      <c r="K43" s="100" t="s">
        <v>345</v>
      </c>
      <c r="L43" s="4" t="s">
        <v>63</v>
      </c>
      <c r="N43" s="80">
        <v>3</v>
      </c>
      <c r="O43" s="73">
        <f t="shared" si="9"/>
        <v>0</v>
      </c>
      <c r="P43" s="73">
        <f t="shared" si="4"/>
        <v>0</v>
      </c>
      <c r="Q43" s="73">
        <f t="shared" si="8"/>
        <v>0</v>
      </c>
      <c r="R43" s="73">
        <f t="shared" si="8"/>
        <v>0</v>
      </c>
      <c r="S43" s="78">
        <f t="shared" si="7"/>
        <v>0</v>
      </c>
      <c r="T43" s="4">
        <f t="shared" si="6"/>
        <v>0</v>
      </c>
    </row>
    <row r="44" spans="7:24" ht="90" x14ac:dyDescent="0.25">
      <c r="G44" s="51" t="s">
        <v>199</v>
      </c>
      <c r="H44" s="48" t="s">
        <v>70</v>
      </c>
      <c r="I44" s="22" t="s">
        <v>200</v>
      </c>
      <c r="J44" s="23" t="s">
        <v>202</v>
      </c>
      <c r="K44" s="100" t="s">
        <v>346</v>
      </c>
      <c r="L44" s="4" t="s">
        <v>63</v>
      </c>
      <c r="N44" s="80">
        <v>3</v>
      </c>
      <c r="O44" s="73">
        <f t="shared" si="9"/>
        <v>0</v>
      </c>
      <c r="P44" s="73">
        <f t="shared" si="4"/>
        <v>0</v>
      </c>
      <c r="Q44" s="73">
        <f t="shared" si="8"/>
        <v>0</v>
      </c>
      <c r="R44" s="73">
        <f t="shared" si="8"/>
        <v>0</v>
      </c>
      <c r="S44" s="78">
        <f t="shared" si="7"/>
        <v>0</v>
      </c>
      <c r="T44" s="4">
        <f t="shared" si="6"/>
        <v>0</v>
      </c>
    </row>
    <row r="45" spans="7:24" s="33" customFormat="1" ht="120" x14ac:dyDescent="0.25">
      <c r="G45" s="52" t="s">
        <v>203</v>
      </c>
      <c r="H45" s="49" t="s">
        <v>70</v>
      </c>
      <c r="I45" s="24" t="s">
        <v>200</v>
      </c>
      <c r="J45" s="25" t="s">
        <v>204</v>
      </c>
      <c r="K45" s="101" t="s">
        <v>347</v>
      </c>
      <c r="L45" s="33" t="s">
        <v>74</v>
      </c>
      <c r="M45" s="71"/>
      <c r="N45" s="81"/>
      <c r="O45" s="75">
        <f t="shared" si="9"/>
        <v>0</v>
      </c>
      <c r="P45" s="75">
        <f t="shared" si="4"/>
        <v>0</v>
      </c>
      <c r="Q45" s="75">
        <f t="shared" si="8"/>
        <v>0</v>
      </c>
      <c r="R45" s="75">
        <f t="shared" si="8"/>
        <v>0</v>
      </c>
      <c r="S45" s="79">
        <f t="shared" si="7"/>
        <v>0</v>
      </c>
      <c r="T45" s="33">
        <v>350</v>
      </c>
    </row>
    <row r="46" spans="7:24" ht="75" x14ac:dyDescent="0.25">
      <c r="G46" s="51" t="s">
        <v>205</v>
      </c>
      <c r="H46" s="48" t="s">
        <v>70</v>
      </c>
      <c r="I46" s="22" t="s">
        <v>206</v>
      </c>
      <c r="J46" s="22" t="s">
        <v>207</v>
      </c>
      <c r="K46" s="99" t="s">
        <v>348</v>
      </c>
      <c r="L46" s="4" t="s">
        <v>63</v>
      </c>
      <c r="N46" s="80">
        <v>20</v>
      </c>
      <c r="O46" s="73">
        <f t="shared" si="9"/>
        <v>0</v>
      </c>
      <c r="P46" s="73">
        <f t="shared" si="4"/>
        <v>0</v>
      </c>
      <c r="Q46" s="73">
        <f t="shared" si="8"/>
        <v>0</v>
      </c>
      <c r="R46" s="73">
        <f t="shared" si="8"/>
        <v>0</v>
      </c>
      <c r="S46" s="78">
        <f t="shared" si="7"/>
        <v>0</v>
      </c>
      <c r="T46" s="4">
        <f>S46*N46</f>
        <v>0</v>
      </c>
    </row>
    <row r="47" spans="7:24" s="33" customFormat="1" x14ac:dyDescent="0.25">
      <c r="G47" s="31" t="s">
        <v>208</v>
      </c>
      <c r="H47" s="48" t="s">
        <v>70</v>
      </c>
      <c r="I47" s="4" t="s">
        <v>206</v>
      </c>
      <c r="J47" s="5" t="s">
        <v>209</v>
      </c>
      <c r="K47" s="98" t="s">
        <v>349</v>
      </c>
      <c r="L47" s="4" t="s">
        <v>63</v>
      </c>
      <c r="M47" s="66"/>
      <c r="N47" s="80">
        <v>20</v>
      </c>
      <c r="O47" s="73">
        <f t="shared" si="9"/>
        <v>0</v>
      </c>
      <c r="P47" s="73">
        <f t="shared" si="4"/>
        <v>0</v>
      </c>
      <c r="Q47" s="73">
        <f t="shared" si="8"/>
        <v>0</v>
      </c>
      <c r="R47" s="73">
        <f t="shared" si="8"/>
        <v>0</v>
      </c>
      <c r="S47" s="78">
        <f t="shared" si="7"/>
        <v>0</v>
      </c>
      <c r="T47" s="4">
        <f>S47*N47</f>
        <v>0</v>
      </c>
      <c r="U47" s="4"/>
    </row>
    <row r="48" spans="7:24" x14ac:dyDescent="0.25">
      <c r="G48" s="41" t="s">
        <v>210</v>
      </c>
      <c r="H48" s="47" t="s">
        <v>70</v>
      </c>
      <c r="I48" s="20" t="s">
        <v>211</v>
      </c>
      <c r="J48" s="7" t="s">
        <v>212</v>
      </c>
      <c r="K48" s="103" t="s">
        <v>350</v>
      </c>
      <c r="L48" s="36" t="s">
        <v>63</v>
      </c>
      <c r="M48" s="68"/>
      <c r="N48" s="82"/>
      <c r="O48" s="74">
        <f t="shared" si="9"/>
        <v>0</v>
      </c>
      <c r="P48" s="74">
        <f t="shared" si="4"/>
        <v>0</v>
      </c>
      <c r="Q48" s="74">
        <f t="shared" si="8"/>
        <v>0</v>
      </c>
      <c r="R48" s="74">
        <f t="shared" si="8"/>
        <v>0</v>
      </c>
      <c r="S48" s="104">
        <f t="shared" si="7"/>
        <v>0</v>
      </c>
      <c r="T48" s="36"/>
      <c r="U48" s="36"/>
    </row>
    <row r="49" spans="7:20" x14ac:dyDescent="0.25">
      <c r="G49" s="31" t="s">
        <v>213</v>
      </c>
      <c r="H49" s="48" t="s">
        <v>70</v>
      </c>
      <c r="I49" s="22" t="s">
        <v>211</v>
      </c>
      <c r="J49" s="8" t="s">
        <v>214</v>
      </c>
      <c r="K49" s="93" t="s">
        <v>351</v>
      </c>
      <c r="L49" s="4" t="s">
        <v>74</v>
      </c>
      <c r="N49" s="80"/>
      <c r="O49" s="73">
        <f t="shared" si="9"/>
        <v>0</v>
      </c>
      <c r="P49" s="73">
        <f t="shared" si="4"/>
        <v>0</v>
      </c>
      <c r="Q49" s="73">
        <f t="shared" si="8"/>
        <v>0</v>
      </c>
      <c r="R49" s="73">
        <f t="shared" si="8"/>
        <v>0</v>
      </c>
      <c r="S49" s="78">
        <f t="shared" si="7"/>
        <v>0</v>
      </c>
    </row>
    <row r="50" spans="7:20" x14ac:dyDescent="0.25">
      <c r="G50" s="31" t="s">
        <v>215</v>
      </c>
      <c r="H50" s="48" t="s">
        <v>70</v>
      </c>
      <c r="I50" s="22" t="s">
        <v>211</v>
      </c>
      <c r="J50" s="8" t="s">
        <v>216</v>
      </c>
      <c r="K50" s="93" t="s">
        <v>352</v>
      </c>
      <c r="L50" s="4" t="s">
        <v>63</v>
      </c>
      <c r="N50" s="80"/>
      <c r="O50" s="73">
        <f t="shared" si="9"/>
        <v>0</v>
      </c>
      <c r="P50" s="73">
        <f t="shared" si="4"/>
        <v>0</v>
      </c>
      <c r="Q50" s="73">
        <f t="shared" si="8"/>
        <v>0</v>
      </c>
      <c r="R50" s="73">
        <f t="shared" si="8"/>
        <v>0</v>
      </c>
      <c r="S50" s="78">
        <f t="shared" si="7"/>
        <v>0</v>
      </c>
    </row>
    <row r="51" spans="7:20" x14ac:dyDescent="0.25">
      <c r="G51" s="31" t="s">
        <v>217</v>
      </c>
      <c r="H51" s="48" t="s">
        <v>70</v>
      </c>
      <c r="I51" s="22" t="s">
        <v>211</v>
      </c>
      <c r="J51" s="8" t="s">
        <v>218</v>
      </c>
      <c r="K51" s="93" t="s">
        <v>353</v>
      </c>
      <c r="L51" s="4" t="s">
        <v>74</v>
      </c>
      <c r="N51" s="80"/>
      <c r="O51" s="73">
        <f t="shared" si="9"/>
        <v>0</v>
      </c>
      <c r="P51" s="73">
        <f t="shared" si="4"/>
        <v>0</v>
      </c>
      <c r="Q51" s="73">
        <f t="shared" si="8"/>
        <v>0</v>
      </c>
      <c r="R51" s="73">
        <f t="shared" si="8"/>
        <v>0</v>
      </c>
      <c r="S51" s="78">
        <f t="shared" si="7"/>
        <v>0</v>
      </c>
    </row>
    <row r="52" spans="7:20" x14ac:dyDescent="0.25">
      <c r="G52" s="31" t="s">
        <v>219</v>
      </c>
      <c r="H52" s="48" t="s">
        <v>70</v>
      </c>
      <c r="I52" s="22" t="s">
        <v>211</v>
      </c>
      <c r="J52" s="8" t="s">
        <v>220</v>
      </c>
      <c r="K52" s="93" t="s">
        <v>354</v>
      </c>
      <c r="L52" s="4" t="s">
        <v>63</v>
      </c>
      <c r="N52" s="80"/>
      <c r="O52" s="73">
        <f t="shared" si="9"/>
        <v>0</v>
      </c>
      <c r="P52" s="73">
        <f t="shared" si="4"/>
        <v>0</v>
      </c>
      <c r="Q52" s="73">
        <f t="shared" si="8"/>
        <v>0</v>
      </c>
      <c r="R52" s="73">
        <f t="shared" si="8"/>
        <v>0</v>
      </c>
      <c r="S52" s="78">
        <f t="shared" si="7"/>
        <v>0</v>
      </c>
    </row>
    <row r="53" spans="7:20" x14ac:dyDescent="0.25">
      <c r="G53" s="31" t="s">
        <v>221</v>
      </c>
      <c r="H53" s="48" t="s">
        <v>70</v>
      </c>
      <c r="I53" s="22" t="s">
        <v>211</v>
      </c>
      <c r="J53" s="8" t="s">
        <v>222</v>
      </c>
      <c r="K53" s="93" t="s">
        <v>355</v>
      </c>
      <c r="L53" s="4" t="s">
        <v>63</v>
      </c>
      <c r="N53" s="80"/>
      <c r="O53" s="73">
        <f t="shared" si="9"/>
        <v>0</v>
      </c>
      <c r="P53" s="73">
        <f t="shared" si="4"/>
        <v>0</v>
      </c>
      <c r="Q53" s="73">
        <f t="shared" si="8"/>
        <v>0</v>
      </c>
      <c r="R53" s="73">
        <f t="shared" si="8"/>
        <v>0</v>
      </c>
      <c r="S53" s="78">
        <f t="shared" si="7"/>
        <v>0</v>
      </c>
    </row>
    <row r="54" spans="7:20" x14ac:dyDescent="0.25">
      <c r="G54" s="31" t="s">
        <v>223</v>
      </c>
      <c r="H54" s="48" t="s">
        <v>70</v>
      </c>
      <c r="I54" s="22" t="s">
        <v>211</v>
      </c>
      <c r="J54" s="4" t="s">
        <v>224</v>
      </c>
      <c r="K54" s="93" t="s">
        <v>355</v>
      </c>
      <c r="L54" s="4" t="s">
        <v>63</v>
      </c>
      <c r="N54" s="80"/>
      <c r="O54" s="73">
        <f t="shared" si="9"/>
        <v>0</v>
      </c>
      <c r="P54" s="73">
        <f t="shared" si="4"/>
        <v>0</v>
      </c>
      <c r="Q54" s="73">
        <f t="shared" si="8"/>
        <v>0</v>
      </c>
      <c r="R54" s="73">
        <f t="shared" si="8"/>
        <v>0</v>
      </c>
      <c r="S54" s="78">
        <f t="shared" si="7"/>
        <v>0</v>
      </c>
    </row>
    <row r="55" spans="7:20" x14ac:dyDescent="0.25">
      <c r="G55" s="31" t="s">
        <v>226</v>
      </c>
      <c r="H55" s="48" t="s">
        <v>70</v>
      </c>
      <c r="I55" s="22" t="s">
        <v>211</v>
      </c>
      <c r="J55" s="8" t="s">
        <v>227</v>
      </c>
      <c r="K55" s="93" t="s">
        <v>356</v>
      </c>
      <c r="L55" s="4" t="s">
        <v>63</v>
      </c>
      <c r="N55" s="80"/>
      <c r="O55" s="73">
        <f t="shared" si="9"/>
        <v>0</v>
      </c>
      <c r="P55" s="73">
        <f t="shared" si="4"/>
        <v>0</v>
      </c>
      <c r="Q55" s="73">
        <f t="shared" si="8"/>
        <v>0</v>
      </c>
      <c r="R55" s="73">
        <f t="shared" si="8"/>
        <v>0</v>
      </c>
      <c r="S55" s="78">
        <f t="shared" si="7"/>
        <v>0</v>
      </c>
    </row>
    <row r="56" spans="7:20" x14ac:dyDescent="0.25">
      <c r="G56" s="86" t="s">
        <v>228</v>
      </c>
      <c r="H56" s="48" t="s">
        <v>70</v>
      </c>
      <c r="I56" s="4" t="s">
        <v>211</v>
      </c>
      <c r="J56" s="4" t="s">
        <v>229</v>
      </c>
      <c r="L56" s="4" t="s">
        <v>63</v>
      </c>
      <c r="M56" s="4"/>
      <c r="O56" s="4">
        <v>0</v>
      </c>
      <c r="P56" s="4">
        <v>0</v>
      </c>
      <c r="Q56" s="4">
        <v>0</v>
      </c>
      <c r="R56" s="4">
        <v>0</v>
      </c>
      <c r="S56" s="78">
        <f t="shared" si="7"/>
        <v>0</v>
      </c>
    </row>
    <row r="57" spans="7:20" s="33" customFormat="1" x14ac:dyDescent="0.25">
      <c r="G57" s="34" t="s">
        <v>71</v>
      </c>
      <c r="H57" s="49" t="s">
        <v>70</v>
      </c>
      <c r="I57" s="24" t="s">
        <v>211</v>
      </c>
      <c r="J57" s="11" t="s">
        <v>73</v>
      </c>
      <c r="K57" s="94" t="s">
        <v>357</v>
      </c>
      <c r="L57" s="33" t="s">
        <v>74</v>
      </c>
      <c r="M57" s="67"/>
      <c r="N57" s="81"/>
      <c r="O57" s="75">
        <v>0</v>
      </c>
      <c r="P57" s="75">
        <v>0</v>
      </c>
      <c r="Q57" s="75">
        <v>0</v>
      </c>
      <c r="R57" s="75">
        <v>0</v>
      </c>
      <c r="S57" s="79">
        <f t="shared" si="7"/>
        <v>0</v>
      </c>
      <c r="T57" s="33">
        <f>S55*N55</f>
        <v>0</v>
      </c>
    </row>
    <row r="58" spans="7:20" x14ac:dyDescent="0.25">
      <c r="G58" s="31" t="s">
        <v>231</v>
      </c>
      <c r="H58" s="48" t="s">
        <v>70</v>
      </c>
      <c r="I58" s="9" t="s">
        <v>232</v>
      </c>
      <c r="J58" s="5" t="s">
        <v>233</v>
      </c>
      <c r="K58" s="93" t="s">
        <v>358</v>
      </c>
      <c r="L58" s="4" t="s">
        <v>74</v>
      </c>
      <c r="N58" s="80"/>
      <c r="O58" s="73">
        <f t="shared" ref="O58:R72" si="10">IF($M58="ne","-",)</f>
        <v>0</v>
      </c>
      <c r="P58" s="73">
        <f t="shared" si="10"/>
        <v>0</v>
      </c>
      <c r="Q58" s="73">
        <f t="shared" si="10"/>
        <v>0</v>
      </c>
      <c r="R58" s="73">
        <f t="shared" si="10"/>
        <v>0</v>
      </c>
      <c r="S58" s="78">
        <f t="shared" si="7"/>
        <v>0</v>
      </c>
      <c r="T58" s="4">
        <f t="shared" ref="T58:T72" si="11">S58*N58</f>
        <v>0</v>
      </c>
    </row>
    <row r="59" spans="7:20" ht="90" x14ac:dyDescent="0.25">
      <c r="G59" s="31" t="s">
        <v>234</v>
      </c>
      <c r="H59" s="48" t="s">
        <v>70</v>
      </c>
      <c r="I59" s="4" t="s">
        <v>235</v>
      </c>
      <c r="J59" s="5" t="s">
        <v>236</v>
      </c>
      <c r="K59" s="100" t="s">
        <v>359</v>
      </c>
      <c r="L59" s="4" t="s">
        <v>74</v>
      </c>
      <c r="M59" s="72"/>
      <c r="N59" s="80"/>
      <c r="O59" s="73">
        <f t="shared" si="10"/>
        <v>0</v>
      </c>
      <c r="P59" s="73">
        <f t="shared" si="10"/>
        <v>0</v>
      </c>
      <c r="Q59" s="73">
        <f t="shared" si="10"/>
        <v>0</v>
      </c>
      <c r="R59" s="73">
        <f t="shared" si="10"/>
        <v>0</v>
      </c>
      <c r="S59" s="78">
        <f t="shared" si="7"/>
        <v>0</v>
      </c>
      <c r="T59" s="4">
        <f t="shared" si="11"/>
        <v>0</v>
      </c>
    </row>
    <row r="60" spans="7:20" x14ac:dyDescent="0.25">
      <c r="G60" s="31" t="s">
        <v>237</v>
      </c>
      <c r="H60" s="48" t="s">
        <v>70</v>
      </c>
      <c r="I60" s="4" t="s">
        <v>232</v>
      </c>
      <c r="J60" s="5" t="s">
        <v>238</v>
      </c>
      <c r="K60" s="93" t="s">
        <v>360</v>
      </c>
      <c r="L60" s="4" t="s">
        <v>74</v>
      </c>
      <c r="N60" s="80"/>
      <c r="O60" s="73">
        <f t="shared" si="10"/>
        <v>0</v>
      </c>
      <c r="P60" s="73">
        <f t="shared" si="10"/>
        <v>0</v>
      </c>
      <c r="Q60" s="73">
        <f t="shared" si="10"/>
        <v>0</v>
      </c>
      <c r="R60" s="73">
        <f t="shared" si="10"/>
        <v>0</v>
      </c>
      <c r="S60" s="78">
        <f t="shared" si="7"/>
        <v>0</v>
      </c>
      <c r="T60" s="4">
        <f t="shared" si="11"/>
        <v>0</v>
      </c>
    </row>
    <row r="61" spans="7:20" s="33" customFormat="1" x14ac:dyDescent="0.25">
      <c r="G61" s="34" t="s">
        <v>239</v>
      </c>
      <c r="H61" s="49" t="s">
        <v>70</v>
      </c>
      <c r="I61" s="33" t="s">
        <v>232</v>
      </c>
      <c r="J61" s="6" t="s">
        <v>240</v>
      </c>
      <c r="K61" s="94" t="s">
        <v>361</v>
      </c>
      <c r="L61" s="33" t="s">
        <v>74</v>
      </c>
      <c r="M61" s="67"/>
      <c r="N61" s="81">
        <v>150</v>
      </c>
      <c r="O61" s="75">
        <f t="shared" si="10"/>
        <v>0</v>
      </c>
      <c r="P61" s="75">
        <f t="shared" si="10"/>
        <v>0</v>
      </c>
      <c r="Q61" s="75">
        <f t="shared" si="10"/>
        <v>0</v>
      </c>
      <c r="R61" s="75">
        <f t="shared" si="10"/>
        <v>0</v>
      </c>
      <c r="S61" s="79">
        <f t="shared" si="7"/>
        <v>0</v>
      </c>
      <c r="T61" s="33">
        <f t="shared" si="11"/>
        <v>0</v>
      </c>
    </row>
    <row r="62" spans="7:20" ht="60" x14ac:dyDescent="0.25">
      <c r="G62" s="31" t="s">
        <v>241</v>
      </c>
      <c r="H62" s="48" t="s">
        <v>70</v>
      </c>
      <c r="I62" s="9" t="s">
        <v>242</v>
      </c>
      <c r="J62" s="5" t="s">
        <v>243</v>
      </c>
      <c r="K62" s="100" t="s">
        <v>362</v>
      </c>
      <c r="L62" s="4" t="s">
        <v>74</v>
      </c>
      <c r="M62" s="72"/>
      <c r="N62" s="80">
        <v>1200</v>
      </c>
      <c r="O62" s="73">
        <f t="shared" si="10"/>
        <v>0</v>
      </c>
      <c r="P62" s="73">
        <f t="shared" si="10"/>
        <v>0</v>
      </c>
      <c r="Q62" s="73">
        <f t="shared" si="10"/>
        <v>0</v>
      </c>
      <c r="R62" s="73">
        <f t="shared" si="10"/>
        <v>0</v>
      </c>
      <c r="S62" s="78">
        <f t="shared" si="7"/>
        <v>0</v>
      </c>
      <c r="T62" s="4">
        <f t="shared" si="11"/>
        <v>0</v>
      </c>
    </row>
    <row r="63" spans="7:20" x14ac:dyDescent="0.25">
      <c r="G63" s="31" t="s">
        <v>244</v>
      </c>
      <c r="H63" s="48" t="s">
        <v>70</v>
      </c>
      <c r="I63" s="4" t="s">
        <v>242</v>
      </c>
      <c r="J63" s="8" t="s">
        <v>245</v>
      </c>
      <c r="K63" s="93" t="s">
        <v>363</v>
      </c>
      <c r="L63" s="4" t="s">
        <v>74</v>
      </c>
      <c r="N63" s="80"/>
      <c r="O63" s="73">
        <f t="shared" si="10"/>
        <v>0</v>
      </c>
      <c r="P63" s="73">
        <f t="shared" si="10"/>
        <v>0</v>
      </c>
      <c r="Q63" s="73">
        <f t="shared" si="10"/>
        <v>0</v>
      </c>
      <c r="R63" s="73">
        <f t="shared" si="10"/>
        <v>0</v>
      </c>
      <c r="S63" s="78">
        <f t="shared" si="7"/>
        <v>0</v>
      </c>
      <c r="T63" s="4">
        <f t="shared" si="11"/>
        <v>0</v>
      </c>
    </row>
    <row r="64" spans="7:20" s="33" customFormat="1" x14ac:dyDescent="0.25">
      <c r="G64" s="34" t="s">
        <v>246</v>
      </c>
      <c r="H64" s="49" t="s">
        <v>70</v>
      </c>
      <c r="I64" s="33" t="s">
        <v>242</v>
      </c>
      <c r="J64" s="11" t="s">
        <v>247</v>
      </c>
      <c r="K64" s="94" t="s">
        <v>364</v>
      </c>
      <c r="L64" s="33" t="s">
        <v>74</v>
      </c>
      <c r="M64" s="67"/>
      <c r="N64" s="81"/>
      <c r="O64" s="75">
        <f t="shared" si="10"/>
        <v>0</v>
      </c>
      <c r="P64" s="75">
        <f t="shared" si="10"/>
        <v>0</v>
      </c>
      <c r="Q64" s="75">
        <f t="shared" si="10"/>
        <v>0</v>
      </c>
      <c r="R64" s="75">
        <f t="shared" si="10"/>
        <v>0</v>
      </c>
      <c r="S64" s="79">
        <f t="shared" si="7"/>
        <v>0</v>
      </c>
      <c r="T64" s="33">
        <f t="shared" si="11"/>
        <v>0</v>
      </c>
    </row>
    <row r="65" spans="6:20" ht="30" x14ac:dyDescent="0.25">
      <c r="G65" s="31" t="s">
        <v>248</v>
      </c>
      <c r="H65" s="48" t="s">
        <v>70</v>
      </c>
      <c r="I65" s="9" t="s">
        <v>249</v>
      </c>
      <c r="J65" s="8" t="s">
        <v>250</v>
      </c>
      <c r="K65" s="100" t="s">
        <v>365</v>
      </c>
      <c r="L65" s="4" t="s">
        <v>74</v>
      </c>
      <c r="N65" s="80">
        <v>200</v>
      </c>
      <c r="O65" s="73">
        <f t="shared" si="10"/>
        <v>0</v>
      </c>
      <c r="P65" s="73">
        <f t="shared" si="10"/>
        <v>0</v>
      </c>
      <c r="Q65" s="73">
        <f t="shared" si="10"/>
        <v>0</v>
      </c>
      <c r="R65" s="73">
        <f t="shared" si="10"/>
        <v>0</v>
      </c>
      <c r="S65" s="78">
        <f t="shared" si="7"/>
        <v>0</v>
      </c>
      <c r="T65" s="4">
        <f t="shared" si="11"/>
        <v>0</v>
      </c>
    </row>
    <row r="66" spans="6:20" x14ac:dyDescent="0.25">
      <c r="G66" s="31" t="s">
        <v>251</v>
      </c>
      <c r="H66" s="48" t="s">
        <v>70</v>
      </c>
      <c r="I66" s="4" t="s">
        <v>249</v>
      </c>
      <c r="J66" s="8" t="s">
        <v>252</v>
      </c>
      <c r="K66" s="93" t="s">
        <v>366</v>
      </c>
      <c r="L66" s="4" t="s">
        <v>74</v>
      </c>
      <c r="N66" s="80"/>
      <c r="O66" s="73">
        <f t="shared" si="10"/>
        <v>0</v>
      </c>
      <c r="P66" s="73">
        <f t="shared" si="10"/>
        <v>0</v>
      </c>
      <c r="Q66" s="73">
        <f t="shared" si="10"/>
        <v>0</v>
      </c>
      <c r="R66" s="73">
        <f t="shared" si="10"/>
        <v>0</v>
      </c>
      <c r="S66" s="78">
        <f t="shared" si="7"/>
        <v>0</v>
      </c>
      <c r="T66" s="4">
        <f t="shared" si="11"/>
        <v>0</v>
      </c>
    </row>
    <row r="67" spans="6:20" s="33" customFormat="1" x14ac:dyDescent="0.25">
      <c r="G67" s="34" t="s">
        <v>253</v>
      </c>
      <c r="H67" s="49" t="s">
        <v>70</v>
      </c>
      <c r="I67" s="33" t="s">
        <v>249</v>
      </c>
      <c r="J67" s="11" t="s">
        <v>254</v>
      </c>
      <c r="K67" s="94" t="s">
        <v>358</v>
      </c>
      <c r="L67" s="33" t="s">
        <v>74</v>
      </c>
      <c r="M67" s="67"/>
      <c r="N67" s="81">
        <v>70</v>
      </c>
      <c r="O67" s="75">
        <f t="shared" si="10"/>
        <v>0</v>
      </c>
      <c r="P67" s="75">
        <f t="shared" si="10"/>
        <v>0</v>
      </c>
      <c r="Q67" s="75">
        <f t="shared" si="10"/>
        <v>0</v>
      </c>
      <c r="R67" s="75">
        <f t="shared" si="10"/>
        <v>0</v>
      </c>
      <c r="S67" s="79">
        <f t="shared" si="7"/>
        <v>0</v>
      </c>
      <c r="T67" s="33">
        <f t="shared" si="11"/>
        <v>0</v>
      </c>
    </row>
    <row r="68" spans="6:20" s="40" customFormat="1" x14ac:dyDescent="0.25">
      <c r="F68" s="33"/>
      <c r="G68" s="38" t="s">
        <v>255</v>
      </c>
      <c r="H68" s="53" t="s">
        <v>70</v>
      </c>
      <c r="I68" s="12" t="s">
        <v>256</v>
      </c>
      <c r="J68" s="13" t="s">
        <v>257</v>
      </c>
      <c r="K68" s="96" t="s">
        <v>351</v>
      </c>
      <c r="L68" s="40" t="s">
        <v>74</v>
      </c>
      <c r="M68" s="69"/>
      <c r="N68" s="83">
        <v>150</v>
      </c>
      <c r="O68" s="76">
        <f t="shared" si="10"/>
        <v>0</v>
      </c>
      <c r="P68" s="76">
        <f t="shared" si="10"/>
        <v>0</v>
      </c>
      <c r="Q68" s="76">
        <f t="shared" si="10"/>
        <v>0</v>
      </c>
      <c r="R68" s="76">
        <f t="shared" si="10"/>
        <v>0</v>
      </c>
      <c r="S68" s="79">
        <f t="shared" ref="S68:S72" si="12">IF($M68="ne","-",O68+P68+Q68+R68)</f>
        <v>0</v>
      </c>
      <c r="T68" s="40">
        <f t="shared" si="11"/>
        <v>0</v>
      </c>
    </row>
    <row r="69" spans="6:20" x14ac:dyDescent="0.25">
      <c r="G69" s="90" t="s">
        <v>367</v>
      </c>
      <c r="H69" s="48" t="s">
        <v>70</v>
      </c>
      <c r="I69" s="89" t="s">
        <v>263</v>
      </c>
      <c r="J69" s="89" t="s">
        <v>368</v>
      </c>
      <c r="K69" s="93"/>
      <c r="N69" s="80"/>
      <c r="O69" s="73">
        <f t="shared" si="10"/>
        <v>0</v>
      </c>
      <c r="P69" s="73">
        <f t="shared" si="10"/>
        <v>0</v>
      </c>
      <c r="Q69" s="73">
        <f t="shared" si="10"/>
        <v>0</v>
      </c>
      <c r="R69" s="73">
        <f t="shared" si="10"/>
        <v>0</v>
      </c>
      <c r="S69" s="78">
        <f t="shared" si="12"/>
        <v>0</v>
      </c>
      <c r="T69" s="4">
        <f t="shared" si="11"/>
        <v>0</v>
      </c>
    </row>
    <row r="70" spans="6:20" s="33" customFormat="1" x14ac:dyDescent="0.25">
      <c r="G70" s="55" t="s">
        <v>262</v>
      </c>
      <c r="H70" s="49" t="s">
        <v>70</v>
      </c>
      <c r="I70" s="56" t="s">
        <v>263</v>
      </c>
      <c r="J70" s="15" t="s">
        <v>264</v>
      </c>
      <c r="K70" s="94"/>
      <c r="M70" s="67"/>
      <c r="N70" s="81"/>
      <c r="O70" s="75">
        <f t="shared" si="10"/>
        <v>0</v>
      </c>
      <c r="P70" s="75">
        <f t="shared" si="10"/>
        <v>0</v>
      </c>
      <c r="Q70" s="75">
        <f t="shared" si="10"/>
        <v>0</v>
      </c>
      <c r="R70" s="75">
        <f t="shared" si="10"/>
        <v>0</v>
      </c>
      <c r="S70" s="79">
        <f t="shared" si="12"/>
        <v>0</v>
      </c>
      <c r="T70" s="33">
        <f t="shared" si="11"/>
        <v>0</v>
      </c>
    </row>
    <row r="71" spans="6:20" s="40" customFormat="1" x14ac:dyDescent="0.25">
      <c r="F71" s="33"/>
      <c r="G71" s="38" t="s">
        <v>265</v>
      </c>
      <c r="H71" s="53" t="s">
        <v>70</v>
      </c>
      <c r="I71" s="12" t="s">
        <v>174</v>
      </c>
      <c r="J71" s="12" t="s">
        <v>174</v>
      </c>
      <c r="K71" s="96"/>
      <c r="M71" s="69"/>
      <c r="N71" s="83"/>
      <c r="O71" s="76">
        <f t="shared" si="10"/>
        <v>0</v>
      </c>
      <c r="P71" s="76">
        <f t="shared" si="10"/>
        <v>0</v>
      </c>
      <c r="Q71" s="76">
        <f t="shared" si="10"/>
        <v>0</v>
      </c>
      <c r="R71" s="76">
        <f t="shared" si="10"/>
        <v>0</v>
      </c>
      <c r="S71" s="79">
        <f t="shared" si="12"/>
        <v>0</v>
      </c>
      <c r="T71" s="40">
        <f t="shared" si="11"/>
        <v>0</v>
      </c>
    </row>
    <row r="72" spans="6:20" ht="75" x14ac:dyDescent="0.25">
      <c r="G72" s="31" t="s">
        <v>266</v>
      </c>
      <c r="H72" s="48" t="s">
        <v>70</v>
      </c>
      <c r="I72" s="22" t="s">
        <v>176</v>
      </c>
      <c r="J72" s="22" t="s">
        <v>267</v>
      </c>
      <c r="K72" s="100" t="s">
        <v>369</v>
      </c>
      <c r="L72" s="4" t="s">
        <v>74</v>
      </c>
      <c r="M72" s="72"/>
      <c r="N72" s="80"/>
      <c r="O72" s="4">
        <f t="shared" si="10"/>
        <v>0</v>
      </c>
      <c r="P72" s="4">
        <f t="shared" si="10"/>
        <v>0</v>
      </c>
      <c r="Q72" s="4">
        <f t="shared" si="10"/>
        <v>0</v>
      </c>
      <c r="R72" s="4">
        <f t="shared" si="10"/>
        <v>0</v>
      </c>
      <c r="S72" s="78">
        <f t="shared" si="12"/>
        <v>0</v>
      </c>
      <c r="T72" s="4">
        <f t="shared" si="11"/>
        <v>0</v>
      </c>
    </row>
    <row r="73" spans="6:20" x14ac:dyDescent="0.25">
      <c r="G73" s="31"/>
    </row>
  </sheetData>
  <autoFilter ref="A2:Y2" xr:uid="{B02B0A38-8D86-4EC5-97E5-74611AC52359}"/>
  <mergeCells count="3">
    <mergeCell ref="B1:E1"/>
    <mergeCell ref="O1:S1"/>
    <mergeCell ref="U1:Y1"/>
  </mergeCells>
  <conditionalFormatting sqref="F3:F72">
    <cfRule type="containsBlanks" dxfId="22" priority="5">
      <formula>LEN(TRIM(F3))=0</formula>
    </cfRule>
    <cfRule type="containsText" dxfId="21" priority="6" operator="containsText" text="ne">
      <formula>NOT(ISERROR(SEARCH("ne",F3)))</formula>
    </cfRule>
    <cfRule type="containsText" dxfId="20" priority="7" operator="containsText" text="ano">
      <formula>NOT(ISERROR(SEARCH("ano",F3)))</formula>
    </cfRule>
  </conditionalFormatting>
  <conditionalFormatting sqref="M7:M55 M57:M72">
    <cfRule type="cellIs" dxfId="19" priority="4" operator="equal">
      <formula>"ne"</formula>
    </cfRule>
  </conditionalFormatting>
  <conditionalFormatting sqref="O4:R55 O57:R72">
    <cfRule type="cellIs" dxfId="18" priority="1" operator="between">
      <formula>0.0001</formula>
      <formula>1000</formula>
    </cfRule>
    <cfRule type="cellIs" dxfId="17" priority="2" operator="equal">
      <formula>"-"</formula>
    </cfRule>
  </conditionalFormatting>
  <conditionalFormatting sqref="S4:S72">
    <cfRule type="cellIs" dxfId="16" priority="3" operator="equal">
      <formula>0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EB721-85B7-40B8-895B-4E00212B02D4}">
  <dimension ref="A1:Q75"/>
  <sheetViews>
    <sheetView zoomScale="80" zoomScaleNormal="80" workbookViewId="0">
      <pane ySplit="2" topLeftCell="A3" activePane="bottomLeft" state="frozen"/>
      <selection pane="bottomLeft" activeCell="D26" sqref="D26"/>
    </sheetView>
  </sheetViews>
  <sheetFormatPr defaultColWidth="9.140625" defaultRowHeight="15" x14ac:dyDescent="0.25"/>
  <cols>
    <col min="1" max="1" width="11.140625" style="4" customWidth="1"/>
    <col min="2" max="2" width="11" style="8" bestFit="1" customWidth="1"/>
    <col min="3" max="3" width="45.7109375" style="4" customWidth="1"/>
    <col min="4" max="4" width="36.28515625" style="4" customWidth="1"/>
    <col min="5" max="5" width="10.28515625" style="66" customWidth="1"/>
    <col min="6" max="6" width="46.7109375" style="4" bestFit="1" customWidth="1"/>
    <col min="7" max="7" width="9.140625" style="4" bestFit="1"/>
    <col min="8" max="8" width="12.140625" style="4" hidden="1" customWidth="1"/>
    <col min="9" max="13" width="8.5703125" style="4" customWidth="1"/>
    <col min="14" max="14" width="11.42578125" style="4" hidden="1" customWidth="1"/>
    <col min="15" max="15" width="25.7109375" style="4" customWidth="1"/>
    <col min="16" max="16" width="12" style="4" customWidth="1"/>
    <col min="17" max="17" width="17.7109375" style="4" customWidth="1"/>
    <col min="18" max="16384" width="9.140625" style="4"/>
  </cols>
  <sheetData>
    <row r="1" spans="1:17" ht="30" x14ac:dyDescent="0.25">
      <c r="A1" s="17" t="s">
        <v>324</v>
      </c>
      <c r="B1" s="17" t="s">
        <v>43</v>
      </c>
      <c r="C1" s="16" t="s">
        <v>44</v>
      </c>
      <c r="D1" s="16" t="s">
        <v>45</v>
      </c>
      <c r="E1" s="29" t="s">
        <v>278</v>
      </c>
      <c r="F1" s="16" t="s">
        <v>47</v>
      </c>
      <c r="G1" s="17" t="s">
        <v>48</v>
      </c>
      <c r="H1" s="17" t="s">
        <v>50</v>
      </c>
      <c r="I1" s="368" t="s">
        <v>93</v>
      </c>
      <c r="J1" s="368"/>
      <c r="K1" s="368"/>
      <c r="L1" s="368"/>
      <c r="M1" s="368"/>
      <c r="N1" s="17" t="s">
        <v>326</v>
      </c>
      <c r="O1" s="16" t="s">
        <v>370</v>
      </c>
      <c r="P1" s="29" t="s">
        <v>323</v>
      </c>
      <c r="Q1" s="105" t="s">
        <v>371</v>
      </c>
    </row>
    <row r="2" spans="1:17" s="18" customFormat="1" ht="36.75" thickBot="1" x14ac:dyDescent="0.3">
      <c r="A2" s="26" t="s">
        <v>55</v>
      </c>
      <c r="B2" s="27"/>
      <c r="E2" s="26" t="s">
        <v>286</v>
      </c>
      <c r="F2" s="19"/>
      <c r="G2" s="26" t="s">
        <v>329</v>
      </c>
      <c r="H2" s="18" t="s">
        <v>57</v>
      </c>
      <c r="I2" s="18" t="s">
        <v>94</v>
      </c>
      <c r="J2" s="18" t="s">
        <v>95</v>
      </c>
      <c r="K2" s="18" t="s">
        <v>96</v>
      </c>
      <c r="L2" s="18" t="s">
        <v>97</v>
      </c>
      <c r="M2" s="77" t="s">
        <v>330</v>
      </c>
      <c r="N2" s="18" t="s">
        <v>57</v>
      </c>
      <c r="P2" s="26" t="s">
        <v>328</v>
      </c>
    </row>
    <row r="3" spans="1:17" s="66" customFormat="1" ht="30" x14ac:dyDescent="0.25">
      <c r="A3" s="63" t="s">
        <v>99</v>
      </c>
      <c r="B3" s="8" t="s">
        <v>100</v>
      </c>
      <c r="C3" s="64" t="s">
        <v>101</v>
      </c>
      <c r="D3" s="5" t="s">
        <v>331</v>
      </c>
      <c r="F3" s="92"/>
      <c r="G3" s="88" t="s">
        <v>103</v>
      </c>
      <c r="M3" s="29"/>
    </row>
    <row r="4" spans="1:17" x14ac:dyDescent="0.25">
      <c r="A4" s="32" t="s">
        <v>99</v>
      </c>
      <c r="B4" s="31" t="s">
        <v>104</v>
      </c>
      <c r="C4" s="9" t="s">
        <v>101</v>
      </c>
      <c r="D4" s="5" t="s">
        <v>105</v>
      </c>
      <c r="F4" s="93" t="s">
        <v>332</v>
      </c>
      <c r="G4" s="4" t="s">
        <v>103</v>
      </c>
      <c r="H4" s="80"/>
      <c r="I4" s="73">
        <f>IF($E4="ne","-",)</f>
        <v>0</v>
      </c>
      <c r="J4" s="73">
        <f>IF($E4="ne","-",)</f>
        <v>0</v>
      </c>
      <c r="K4" s="73">
        <f>IF($E4="ne","-",)</f>
        <v>0</v>
      </c>
      <c r="L4" s="73">
        <f>IF($E4="ne","-",)</f>
        <v>0</v>
      </c>
      <c r="M4" s="78">
        <f t="shared" ref="M4:M35" si="0">IF($E4="ne","-",I4+J4+K4+L4)</f>
        <v>0</v>
      </c>
      <c r="N4" s="4">
        <f t="shared" ref="N4:N26" si="1">M4*H4</f>
        <v>0</v>
      </c>
      <c r="P4" s="66"/>
    </row>
    <row r="5" spans="1:17" x14ac:dyDescent="0.25">
      <c r="A5" s="32" t="s">
        <v>99</v>
      </c>
      <c r="B5" s="31" t="s">
        <v>106</v>
      </c>
      <c r="C5" s="4" t="s">
        <v>101</v>
      </c>
      <c r="D5" s="5" t="s">
        <v>333</v>
      </c>
      <c r="F5" s="93" t="s">
        <v>334</v>
      </c>
      <c r="G5" s="4" t="s">
        <v>103</v>
      </c>
      <c r="H5" s="80"/>
      <c r="I5" s="73">
        <v>0</v>
      </c>
      <c r="J5" s="73">
        <f t="shared" ref="J5:L15" si="2">IF($E5="ne","-",)</f>
        <v>0</v>
      </c>
      <c r="K5" s="73">
        <f t="shared" si="2"/>
        <v>0</v>
      </c>
      <c r="L5" s="73">
        <f t="shared" si="2"/>
        <v>0</v>
      </c>
      <c r="M5" s="78">
        <f t="shared" si="0"/>
        <v>0</v>
      </c>
      <c r="N5" s="4">
        <f t="shared" si="1"/>
        <v>0</v>
      </c>
      <c r="P5" s="66"/>
    </row>
    <row r="6" spans="1:17" x14ac:dyDescent="0.25">
      <c r="A6" s="32" t="s">
        <v>99</v>
      </c>
      <c r="B6" s="31" t="s">
        <v>114</v>
      </c>
      <c r="C6" s="4" t="s">
        <v>101</v>
      </c>
      <c r="D6" s="5" t="s">
        <v>115</v>
      </c>
      <c r="F6" s="93"/>
      <c r="G6" s="4" t="s">
        <v>103</v>
      </c>
      <c r="H6" s="80"/>
      <c r="I6" s="73">
        <f t="shared" ref="I6:I37" si="3">IF($E6="ne","-",)</f>
        <v>0</v>
      </c>
      <c r="J6" s="73">
        <f t="shared" si="2"/>
        <v>0</v>
      </c>
      <c r="K6" s="73">
        <f t="shared" si="2"/>
        <v>0</v>
      </c>
      <c r="L6" s="73">
        <f t="shared" si="2"/>
        <v>0</v>
      </c>
      <c r="M6" s="78">
        <f t="shared" si="0"/>
        <v>0</v>
      </c>
      <c r="N6" s="4">
        <f t="shared" si="1"/>
        <v>0</v>
      </c>
      <c r="P6" s="66"/>
    </row>
    <row r="7" spans="1:17" x14ac:dyDescent="0.25">
      <c r="A7" s="32" t="s">
        <v>99</v>
      </c>
      <c r="B7" s="31" t="s">
        <v>116</v>
      </c>
      <c r="C7" s="4" t="s">
        <v>101</v>
      </c>
      <c r="D7" s="5" t="s">
        <v>117</v>
      </c>
      <c r="F7" s="93"/>
      <c r="G7" s="4" t="s">
        <v>103</v>
      </c>
      <c r="H7" s="80"/>
      <c r="I7" s="73">
        <f t="shared" si="3"/>
        <v>0</v>
      </c>
      <c r="J7" s="73">
        <f t="shared" si="2"/>
        <v>0</v>
      </c>
      <c r="K7" s="73">
        <f t="shared" si="2"/>
        <v>0</v>
      </c>
      <c r="L7" s="73">
        <f t="shared" si="2"/>
        <v>0</v>
      </c>
      <c r="M7" s="78">
        <f t="shared" si="0"/>
        <v>0</v>
      </c>
      <c r="N7" s="4">
        <f t="shared" si="1"/>
        <v>0</v>
      </c>
      <c r="P7" s="66"/>
    </row>
    <row r="8" spans="1:17" x14ac:dyDescent="0.25">
      <c r="A8" s="32" t="s">
        <v>99</v>
      </c>
      <c r="B8" s="31" t="s">
        <v>118</v>
      </c>
      <c r="C8" s="4" t="s">
        <v>101</v>
      </c>
      <c r="D8" s="5" t="s">
        <v>119</v>
      </c>
      <c r="F8" s="93"/>
      <c r="G8" s="4" t="s">
        <v>103</v>
      </c>
      <c r="H8" s="80"/>
      <c r="I8" s="73">
        <f t="shared" si="3"/>
        <v>0</v>
      </c>
      <c r="J8" s="73">
        <f t="shared" si="2"/>
        <v>0</v>
      </c>
      <c r="K8" s="73">
        <f t="shared" si="2"/>
        <v>0</v>
      </c>
      <c r="L8" s="73">
        <f t="shared" si="2"/>
        <v>0</v>
      </c>
      <c r="M8" s="78">
        <f t="shared" si="0"/>
        <v>0</v>
      </c>
      <c r="N8" s="4">
        <f t="shared" si="1"/>
        <v>0</v>
      </c>
      <c r="P8" s="66"/>
    </row>
    <row r="9" spans="1:17" x14ac:dyDescent="0.25">
      <c r="A9" s="32" t="s">
        <v>99</v>
      </c>
      <c r="B9" s="31" t="s">
        <v>120</v>
      </c>
      <c r="C9" s="4" t="s">
        <v>101</v>
      </c>
      <c r="D9" s="5" t="s">
        <v>121</v>
      </c>
      <c r="F9" s="93"/>
      <c r="G9" s="4" t="s">
        <v>74</v>
      </c>
      <c r="H9" s="80"/>
      <c r="I9" s="73">
        <f t="shared" si="3"/>
        <v>0</v>
      </c>
      <c r="J9" s="73">
        <f t="shared" si="2"/>
        <v>0</v>
      </c>
      <c r="K9" s="73">
        <f t="shared" si="2"/>
        <v>0</v>
      </c>
      <c r="L9" s="73">
        <f t="shared" si="2"/>
        <v>0</v>
      </c>
      <c r="M9" s="78">
        <f t="shared" si="0"/>
        <v>0</v>
      </c>
      <c r="N9" s="4">
        <f t="shared" si="1"/>
        <v>0</v>
      </c>
      <c r="P9" s="66"/>
    </row>
    <row r="10" spans="1:17" x14ac:dyDescent="0.25">
      <c r="A10" s="32" t="s">
        <v>99</v>
      </c>
      <c r="B10" s="31" t="s">
        <v>122</v>
      </c>
      <c r="C10" s="4" t="s">
        <v>101</v>
      </c>
      <c r="D10" s="5" t="s">
        <v>123</v>
      </c>
      <c r="F10" s="93"/>
      <c r="G10" s="4" t="s">
        <v>74</v>
      </c>
      <c r="H10" s="80"/>
      <c r="I10" s="73">
        <f t="shared" si="3"/>
        <v>0</v>
      </c>
      <c r="J10" s="73">
        <f t="shared" si="2"/>
        <v>0</v>
      </c>
      <c r="K10" s="73">
        <f t="shared" si="2"/>
        <v>0</v>
      </c>
      <c r="L10" s="73">
        <f t="shared" si="2"/>
        <v>0</v>
      </c>
      <c r="M10" s="78">
        <f t="shared" si="0"/>
        <v>0</v>
      </c>
      <c r="N10" s="4">
        <f t="shared" si="1"/>
        <v>0</v>
      </c>
      <c r="P10" s="66"/>
    </row>
    <row r="11" spans="1:17" x14ac:dyDescent="0.25">
      <c r="A11" s="32" t="s">
        <v>99</v>
      </c>
      <c r="B11" s="31" t="s">
        <v>124</v>
      </c>
      <c r="C11" s="4" t="s">
        <v>101</v>
      </c>
      <c r="D11" s="5" t="s">
        <v>125</v>
      </c>
      <c r="F11" s="93"/>
      <c r="G11" s="4" t="s">
        <v>103</v>
      </c>
      <c r="H11" s="80"/>
      <c r="I11" s="73">
        <f t="shared" si="3"/>
        <v>0</v>
      </c>
      <c r="J11" s="73">
        <f t="shared" si="2"/>
        <v>0</v>
      </c>
      <c r="K11" s="73">
        <f t="shared" si="2"/>
        <v>0</v>
      </c>
      <c r="L11" s="73">
        <f t="shared" si="2"/>
        <v>0</v>
      </c>
      <c r="M11" s="78">
        <f t="shared" si="0"/>
        <v>0</v>
      </c>
      <c r="N11" s="4">
        <f t="shared" si="1"/>
        <v>0</v>
      </c>
      <c r="P11" s="66"/>
    </row>
    <row r="12" spans="1:17" x14ac:dyDescent="0.25">
      <c r="A12" s="32" t="s">
        <v>99</v>
      </c>
      <c r="B12" s="31" t="s">
        <v>126</v>
      </c>
      <c r="C12" s="4" t="s">
        <v>101</v>
      </c>
      <c r="D12" s="5" t="s">
        <v>127</v>
      </c>
      <c r="F12" s="93"/>
      <c r="G12" s="4" t="s">
        <v>103</v>
      </c>
      <c r="H12" s="80"/>
      <c r="I12" s="73">
        <f t="shared" si="3"/>
        <v>0</v>
      </c>
      <c r="J12" s="73">
        <f t="shared" si="2"/>
        <v>0</v>
      </c>
      <c r="K12" s="73">
        <f t="shared" si="2"/>
        <v>0</v>
      </c>
      <c r="L12" s="73">
        <f t="shared" si="2"/>
        <v>0</v>
      </c>
      <c r="M12" s="78">
        <f t="shared" si="0"/>
        <v>0</v>
      </c>
      <c r="N12" s="4">
        <f t="shared" si="1"/>
        <v>0</v>
      </c>
      <c r="P12" s="66"/>
    </row>
    <row r="13" spans="1:17" s="33" customFormat="1" x14ac:dyDescent="0.25">
      <c r="A13" s="35" t="s">
        <v>99</v>
      </c>
      <c r="B13" s="34" t="s">
        <v>128</v>
      </c>
      <c r="C13" s="33" t="s">
        <v>101</v>
      </c>
      <c r="D13" s="6" t="s">
        <v>129</v>
      </c>
      <c r="E13" s="67"/>
      <c r="F13" s="94"/>
      <c r="G13" s="33" t="s">
        <v>103</v>
      </c>
      <c r="H13" s="81"/>
      <c r="I13" s="75">
        <f t="shared" si="3"/>
        <v>0</v>
      </c>
      <c r="J13" s="75">
        <f t="shared" si="2"/>
        <v>0</v>
      </c>
      <c r="K13" s="75">
        <f t="shared" si="2"/>
        <v>0</v>
      </c>
      <c r="L13" s="75">
        <f t="shared" si="2"/>
        <v>0</v>
      </c>
      <c r="M13" s="79">
        <f t="shared" si="0"/>
        <v>0</v>
      </c>
      <c r="N13" s="33">
        <f t="shared" si="1"/>
        <v>0</v>
      </c>
      <c r="P13" s="67"/>
    </row>
    <row r="14" spans="1:17" s="36" customFormat="1" x14ac:dyDescent="0.25">
      <c r="A14" s="37" t="s">
        <v>99</v>
      </c>
      <c r="B14" s="41" t="s">
        <v>130</v>
      </c>
      <c r="C14" s="10" t="s">
        <v>131</v>
      </c>
      <c r="D14" s="7" t="s">
        <v>132</v>
      </c>
      <c r="E14" s="68"/>
      <c r="F14" s="95"/>
      <c r="G14" s="36" t="s">
        <v>63</v>
      </c>
      <c r="H14" s="82"/>
      <c r="I14" s="73">
        <f t="shared" si="3"/>
        <v>0</v>
      </c>
      <c r="J14" s="73">
        <f t="shared" si="2"/>
        <v>0</v>
      </c>
      <c r="K14" s="73">
        <f t="shared" si="2"/>
        <v>0</v>
      </c>
      <c r="L14" s="73">
        <f t="shared" si="2"/>
        <v>0</v>
      </c>
      <c r="M14" s="78">
        <f t="shared" si="0"/>
        <v>0</v>
      </c>
      <c r="N14" s="36">
        <f t="shared" si="1"/>
        <v>0</v>
      </c>
      <c r="P14" s="66"/>
    </row>
    <row r="15" spans="1:17" s="33" customFormat="1" x14ac:dyDescent="0.25">
      <c r="A15" s="35" t="s">
        <v>99</v>
      </c>
      <c r="B15" s="34" t="s">
        <v>133</v>
      </c>
      <c r="C15" s="3" t="s">
        <v>131</v>
      </c>
      <c r="D15" s="11" t="s">
        <v>134</v>
      </c>
      <c r="E15" s="67"/>
      <c r="F15" s="94"/>
      <c r="G15" s="33" t="s">
        <v>63</v>
      </c>
      <c r="H15" s="81"/>
      <c r="I15" s="75">
        <f t="shared" si="3"/>
        <v>0</v>
      </c>
      <c r="J15" s="75">
        <f t="shared" si="2"/>
        <v>0</v>
      </c>
      <c r="K15" s="75">
        <f t="shared" si="2"/>
        <v>0</v>
      </c>
      <c r="L15" s="75">
        <f t="shared" si="2"/>
        <v>0</v>
      </c>
      <c r="M15" s="79">
        <f t="shared" si="0"/>
        <v>0</v>
      </c>
      <c r="N15" s="33">
        <f t="shared" si="1"/>
        <v>0</v>
      </c>
      <c r="P15" s="67"/>
    </row>
    <row r="16" spans="1:17" s="36" customFormat="1" x14ac:dyDescent="0.25">
      <c r="A16" s="37" t="s">
        <v>99</v>
      </c>
      <c r="B16" s="41" t="s">
        <v>135</v>
      </c>
      <c r="C16" s="10" t="s">
        <v>136</v>
      </c>
      <c r="D16" s="7" t="s">
        <v>137</v>
      </c>
      <c r="E16" s="68"/>
      <c r="F16" s="95" t="s">
        <v>335</v>
      </c>
      <c r="G16" s="36" t="s">
        <v>63</v>
      </c>
      <c r="H16" s="82"/>
      <c r="I16" s="73">
        <f t="shared" si="3"/>
        <v>0</v>
      </c>
      <c r="J16" s="73">
        <f t="shared" ref="J16:J56" si="4">IF($E16="ne","-",)</f>
        <v>0</v>
      </c>
      <c r="K16" s="73">
        <v>0</v>
      </c>
      <c r="L16" s="73">
        <v>0</v>
      </c>
      <c r="M16" s="78">
        <f t="shared" si="0"/>
        <v>0</v>
      </c>
      <c r="N16" s="36">
        <f t="shared" si="1"/>
        <v>0</v>
      </c>
      <c r="P16" s="66"/>
    </row>
    <row r="17" spans="1:16" x14ac:dyDescent="0.25">
      <c r="A17" s="32" t="s">
        <v>99</v>
      </c>
      <c r="B17" s="31" t="s">
        <v>135</v>
      </c>
      <c r="C17" s="9" t="s">
        <v>136</v>
      </c>
      <c r="D17" s="8" t="s">
        <v>139</v>
      </c>
      <c r="F17" s="93"/>
      <c r="G17" s="4" t="s">
        <v>63</v>
      </c>
      <c r="H17" s="80"/>
      <c r="I17" s="73">
        <f t="shared" si="3"/>
        <v>0</v>
      </c>
      <c r="J17" s="73">
        <f t="shared" si="4"/>
        <v>0</v>
      </c>
      <c r="K17" s="73">
        <f t="shared" ref="K17:L36" si="5">IF($E17="ne","-",)</f>
        <v>0</v>
      </c>
      <c r="L17" s="73">
        <f t="shared" si="5"/>
        <v>0</v>
      </c>
      <c r="M17" s="78">
        <f t="shared" si="0"/>
        <v>0</v>
      </c>
      <c r="N17" s="4">
        <f t="shared" si="1"/>
        <v>0</v>
      </c>
      <c r="P17" s="66"/>
    </row>
    <row r="18" spans="1:16" s="33" customFormat="1" x14ac:dyDescent="0.25">
      <c r="A18" s="35" t="s">
        <v>99</v>
      </c>
      <c r="B18" s="34" t="s">
        <v>140</v>
      </c>
      <c r="C18" s="3" t="s">
        <v>136</v>
      </c>
      <c r="D18" s="33" t="s">
        <v>141</v>
      </c>
      <c r="E18" s="67"/>
      <c r="F18" s="94"/>
      <c r="G18" s="33" t="s">
        <v>63</v>
      </c>
      <c r="H18" s="81"/>
      <c r="I18" s="75">
        <f t="shared" si="3"/>
        <v>0</v>
      </c>
      <c r="J18" s="73">
        <f t="shared" si="4"/>
        <v>0</v>
      </c>
      <c r="K18" s="73">
        <f t="shared" si="5"/>
        <v>0</v>
      </c>
      <c r="L18" s="73">
        <f t="shared" si="5"/>
        <v>0</v>
      </c>
      <c r="M18" s="79">
        <f t="shared" si="0"/>
        <v>0</v>
      </c>
      <c r="N18" s="33">
        <f t="shared" si="1"/>
        <v>0</v>
      </c>
      <c r="P18" s="67"/>
    </row>
    <row r="19" spans="1:16" s="40" customFormat="1" x14ac:dyDescent="0.25">
      <c r="A19" s="39" t="s">
        <v>99</v>
      </c>
      <c r="B19" s="38" t="s">
        <v>142</v>
      </c>
      <c r="C19" s="12" t="s">
        <v>143</v>
      </c>
      <c r="D19" s="12" t="s">
        <v>143</v>
      </c>
      <c r="E19" s="69"/>
      <c r="F19" s="96"/>
      <c r="G19" s="40" t="s">
        <v>74</v>
      </c>
      <c r="H19" s="83"/>
      <c r="I19" s="76">
        <f t="shared" si="3"/>
        <v>0</v>
      </c>
      <c r="J19" s="76">
        <f t="shared" si="4"/>
        <v>0</v>
      </c>
      <c r="K19" s="76">
        <f t="shared" si="5"/>
        <v>0</v>
      </c>
      <c r="L19" s="76">
        <f t="shared" si="5"/>
        <v>0</v>
      </c>
      <c r="M19" s="79">
        <f t="shared" si="0"/>
        <v>0</v>
      </c>
      <c r="N19" s="40">
        <f t="shared" si="1"/>
        <v>0</v>
      </c>
      <c r="P19" s="67"/>
    </row>
    <row r="20" spans="1:16" s="40" customFormat="1" x14ac:dyDescent="0.25">
      <c r="A20" s="39" t="s">
        <v>99</v>
      </c>
      <c r="B20" s="38" t="s">
        <v>146</v>
      </c>
      <c r="C20" s="12" t="s">
        <v>147</v>
      </c>
      <c r="D20" s="12" t="s">
        <v>147</v>
      </c>
      <c r="E20" s="69"/>
      <c r="F20" s="96" t="s">
        <v>336</v>
      </c>
      <c r="G20" s="40" t="s">
        <v>74</v>
      </c>
      <c r="H20" s="83"/>
      <c r="I20" s="76">
        <f t="shared" si="3"/>
        <v>0</v>
      </c>
      <c r="J20" s="76">
        <f t="shared" si="4"/>
        <v>0</v>
      </c>
      <c r="K20" s="76">
        <f t="shared" si="5"/>
        <v>0</v>
      </c>
      <c r="L20" s="76">
        <f t="shared" si="5"/>
        <v>0</v>
      </c>
      <c r="M20" s="79">
        <f t="shared" si="0"/>
        <v>0</v>
      </c>
      <c r="N20" s="40">
        <f t="shared" si="1"/>
        <v>0</v>
      </c>
      <c r="P20" s="67"/>
    </row>
    <row r="21" spans="1:16" x14ac:dyDescent="0.25">
      <c r="A21" s="43" t="s">
        <v>58</v>
      </c>
      <c r="B21" s="31" t="s">
        <v>59</v>
      </c>
      <c r="C21" s="9" t="s">
        <v>150</v>
      </c>
      <c r="D21" s="5" t="s">
        <v>61</v>
      </c>
      <c r="F21" s="93"/>
      <c r="G21" s="4" t="s">
        <v>63</v>
      </c>
      <c r="H21" s="80"/>
      <c r="I21" s="73">
        <f t="shared" si="3"/>
        <v>0</v>
      </c>
      <c r="J21" s="73">
        <f t="shared" si="4"/>
        <v>0</v>
      </c>
      <c r="K21" s="73">
        <f t="shared" si="5"/>
        <v>0</v>
      </c>
      <c r="L21" s="73">
        <f t="shared" si="5"/>
        <v>0</v>
      </c>
      <c r="M21" s="78">
        <f t="shared" si="0"/>
        <v>0</v>
      </c>
      <c r="N21" s="4">
        <f t="shared" si="1"/>
        <v>0</v>
      </c>
      <c r="P21" s="66"/>
    </row>
    <row r="22" spans="1:16" x14ac:dyDescent="0.25">
      <c r="A22" s="43" t="s">
        <v>58</v>
      </c>
      <c r="B22" s="31" t="s">
        <v>152</v>
      </c>
      <c r="C22" s="4" t="s">
        <v>150</v>
      </c>
      <c r="D22" s="5" t="s">
        <v>153</v>
      </c>
      <c r="F22" s="93"/>
      <c r="G22" s="4" t="s">
        <v>63</v>
      </c>
      <c r="H22" s="80"/>
      <c r="I22" s="73">
        <f t="shared" si="3"/>
        <v>0</v>
      </c>
      <c r="J22" s="73">
        <f t="shared" si="4"/>
        <v>0</v>
      </c>
      <c r="K22" s="73">
        <f t="shared" si="5"/>
        <v>0</v>
      </c>
      <c r="L22" s="73">
        <f t="shared" si="5"/>
        <v>0</v>
      </c>
      <c r="M22" s="78">
        <f t="shared" si="0"/>
        <v>0</v>
      </c>
      <c r="N22" s="4">
        <f t="shared" si="1"/>
        <v>0</v>
      </c>
      <c r="P22" s="66"/>
    </row>
    <row r="23" spans="1:16" x14ac:dyDescent="0.25">
      <c r="A23" s="43" t="s">
        <v>58</v>
      </c>
      <c r="B23" s="31" t="s">
        <v>155</v>
      </c>
      <c r="C23" s="4" t="s">
        <v>150</v>
      </c>
      <c r="D23" s="5" t="s">
        <v>156</v>
      </c>
      <c r="F23" s="93"/>
      <c r="G23" s="4" t="s">
        <v>63</v>
      </c>
      <c r="H23" s="80"/>
      <c r="I23" s="73">
        <f t="shared" si="3"/>
        <v>0</v>
      </c>
      <c r="J23" s="73">
        <f t="shared" si="4"/>
        <v>0</v>
      </c>
      <c r="K23" s="73">
        <f t="shared" si="5"/>
        <v>0</v>
      </c>
      <c r="L23" s="73">
        <f t="shared" si="5"/>
        <v>0</v>
      </c>
      <c r="M23" s="78">
        <f t="shared" si="0"/>
        <v>0</v>
      </c>
      <c r="N23" s="4">
        <f t="shared" si="1"/>
        <v>0</v>
      </c>
      <c r="P23" s="66"/>
    </row>
    <row r="24" spans="1:16" x14ac:dyDescent="0.25">
      <c r="A24" s="43" t="s">
        <v>58</v>
      </c>
      <c r="B24" s="31" t="s">
        <v>64</v>
      </c>
      <c r="C24" s="4" t="s">
        <v>150</v>
      </c>
      <c r="D24" s="5" t="s">
        <v>65</v>
      </c>
      <c r="F24" s="93"/>
      <c r="G24" s="4" t="s">
        <v>63</v>
      </c>
      <c r="H24" s="80"/>
      <c r="I24" s="73">
        <f t="shared" si="3"/>
        <v>0</v>
      </c>
      <c r="J24" s="73">
        <f t="shared" si="4"/>
        <v>0</v>
      </c>
      <c r="K24" s="73">
        <f t="shared" si="5"/>
        <v>0</v>
      </c>
      <c r="L24" s="73">
        <f t="shared" si="5"/>
        <v>0</v>
      </c>
      <c r="M24" s="78">
        <f t="shared" si="0"/>
        <v>0</v>
      </c>
      <c r="N24" s="4">
        <f t="shared" si="1"/>
        <v>0</v>
      </c>
      <c r="P24" s="66"/>
    </row>
    <row r="25" spans="1:16" x14ac:dyDescent="0.25">
      <c r="A25" s="43" t="s">
        <v>58</v>
      </c>
      <c r="B25" s="31" t="s">
        <v>67</v>
      </c>
      <c r="C25" s="4" t="s">
        <v>150</v>
      </c>
      <c r="D25" s="5" t="s">
        <v>68</v>
      </c>
      <c r="F25" s="93"/>
      <c r="G25" s="4" t="s">
        <v>63</v>
      </c>
      <c r="H25" s="80"/>
      <c r="I25" s="73">
        <f t="shared" si="3"/>
        <v>0</v>
      </c>
      <c r="J25" s="73">
        <f t="shared" si="4"/>
        <v>0</v>
      </c>
      <c r="K25" s="73">
        <f t="shared" si="5"/>
        <v>0</v>
      </c>
      <c r="L25" s="73">
        <f t="shared" si="5"/>
        <v>0</v>
      </c>
      <c r="M25" s="78">
        <f t="shared" si="0"/>
        <v>0</v>
      </c>
      <c r="N25" s="4">
        <f t="shared" si="1"/>
        <v>0</v>
      </c>
      <c r="P25" s="66"/>
    </row>
    <row r="26" spans="1:16" s="33" customFormat="1" x14ac:dyDescent="0.25">
      <c r="A26" s="44" t="s">
        <v>58</v>
      </c>
      <c r="B26" s="34" t="s">
        <v>157</v>
      </c>
      <c r="C26" s="33" t="s">
        <v>150</v>
      </c>
      <c r="D26" s="11" t="s">
        <v>158</v>
      </c>
      <c r="E26" s="66"/>
      <c r="F26" s="94"/>
      <c r="G26" s="33" t="s">
        <v>63</v>
      </c>
      <c r="H26" s="81"/>
      <c r="I26" s="73">
        <f t="shared" si="3"/>
        <v>0</v>
      </c>
      <c r="J26" s="73">
        <f t="shared" si="4"/>
        <v>0</v>
      </c>
      <c r="K26" s="73">
        <f t="shared" si="5"/>
        <v>0</v>
      </c>
      <c r="L26" s="73">
        <f t="shared" si="5"/>
        <v>0</v>
      </c>
      <c r="M26" s="79">
        <f t="shared" si="0"/>
        <v>0</v>
      </c>
      <c r="N26" s="33">
        <f t="shared" si="1"/>
        <v>0</v>
      </c>
      <c r="P26" s="67"/>
    </row>
    <row r="27" spans="1:16" s="40" customFormat="1" x14ac:dyDescent="0.25">
      <c r="A27" s="45" t="s">
        <v>58</v>
      </c>
      <c r="B27" s="38" t="s">
        <v>159</v>
      </c>
      <c r="C27" s="40" t="s">
        <v>160</v>
      </c>
      <c r="D27" s="65" t="s">
        <v>161</v>
      </c>
      <c r="E27" s="69"/>
      <c r="F27" s="96"/>
      <c r="G27" s="40" t="s">
        <v>74</v>
      </c>
      <c r="H27" s="83"/>
      <c r="I27" s="76">
        <f t="shared" si="3"/>
        <v>0</v>
      </c>
      <c r="J27" s="76">
        <f t="shared" si="4"/>
        <v>0</v>
      </c>
      <c r="K27" s="76">
        <f t="shared" si="5"/>
        <v>0</v>
      </c>
      <c r="L27" s="76">
        <f t="shared" si="5"/>
        <v>0</v>
      </c>
      <c r="M27" s="79">
        <f t="shared" si="0"/>
        <v>0</v>
      </c>
      <c r="P27" s="67"/>
    </row>
    <row r="28" spans="1:16" x14ac:dyDescent="0.25">
      <c r="A28" s="43" t="s">
        <v>58</v>
      </c>
      <c r="B28" s="31" t="s">
        <v>162</v>
      </c>
      <c r="C28" s="9" t="s">
        <v>163</v>
      </c>
      <c r="D28" s="5" t="s">
        <v>164</v>
      </c>
      <c r="F28" s="93"/>
      <c r="G28" s="4" t="s">
        <v>103</v>
      </c>
      <c r="H28" s="80"/>
      <c r="I28" s="73">
        <f t="shared" si="3"/>
        <v>0</v>
      </c>
      <c r="J28" s="73">
        <f t="shared" si="4"/>
        <v>0</v>
      </c>
      <c r="K28" s="73">
        <f t="shared" si="5"/>
        <v>0</v>
      </c>
      <c r="L28" s="73">
        <f t="shared" si="5"/>
        <v>0</v>
      </c>
      <c r="M28" s="78">
        <f t="shared" si="0"/>
        <v>0</v>
      </c>
      <c r="N28" s="4">
        <f t="shared" ref="N28:N45" si="6">M28*H28</f>
        <v>0</v>
      </c>
      <c r="P28" s="66"/>
    </row>
    <row r="29" spans="1:16" x14ac:dyDescent="0.25">
      <c r="A29" s="43" t="s">
        <v>58</v>
      </c>
      <c r="B29" s="31" t="s">
        <v>166</v>
      </c>
      <c r="C29" s="4" t="s">
        <v>163</v>
      </c>
      <c r="D29" s="5" t="s">
        <v>167</v>
      </c>
      <c r="F29" s="93"/>
      <c r="G29" s="4" t="s">
        <v>103</v>
      </c>
      <c r="H29" s="80"/>
      <c r="I29" s="73">
        <f t="shared" si="3"/>
        <v>0</v>
      </c>
      <c r="J29" s="73">
        <f t="shared" si="4"/>
        <v>0</v>
      </c>
      <c r="K29" s="73">
        <f t="shared" si="5"/>
        <v>0</v>
      </c>
      <c r="L29" s="73">
        <f t="shared" si="5"/>
        <v>0</v>
      </c>
      <c r="M29" s="78">
        <f t="shared" si="0"/>
        <v>0</v>
      </c>
      <c r="N29" s="4">
        <f t="shared" si="6"/>
        <v>0</v>
      </c>
      <c r="P29" s="66"/>
    </row>
    <row r="30" spans="1:16" x14ac:dyDescent="0.25">
      <c r="A30" s="43" t="s">
        <v>58</v>
      </c>
      <c r="B30" s="31" t="s">
        <v>169</v>
      </c>
      <c r="C30" s="4" t="s">
        <v>163</v>
      </c>
      <c r="D30" s="5" t="s">
        <v>170</v>
      </c>
      <c r="F30" s="93"/>
      <c r="G30" s="4" t="s">
        <v>103</v>
      </c>
      <c r="H30" s="80"/>
      <c r="I30" s="73">
        <f t="shared" si="3"/>
        <v>0</v>
      </c>
      <c r="J30" s="73">
        <f t="shared" si="4"/>
        <v>0</v>
      </c>
      <c r="K30" s="73">
        <f t="shared" si="5"/>
        <v>0</v>
      </c>
      <c r="L30" s="73">
        <f t="shared" si="5"/>
        <v>0</v>
      </c>
      <c r="M30" s="78">
        <f t="shared" si="0"/>
        <v>0</v>
      </c>
      <c r="N30" s="4">
        <f t="shared" si="6"/>
        <v>0</v>
      </c>
      <c r="P30" s="66"/>
    </row>
    <row r="31" spans="1:16" s="33" customFormat="1" x14ac:dyDescent="0.25">
      <c r="A31" s="44" t="s">
        <v>58</v>
      </c>
      <c r="B31" s="31" t="s">
        <v>171</v>
      </c>
      <c r="C31" s="33" t="s">
        <v>163</v>
      </c>
      <c r="D31" s="6" t="s">
        <v>172</v>
      </c>
      <c r="E31" s="67"/>
      <c r="F31" s="94"/>
      <c r="G31" s="33" t="s">
        <v>103</v>
      </c>
      <c r="H31" s="81"/>
      <c r="I31" s="75">
        <f t="shared" si="3"/>
        <v>0</v>
      </c>
      <c r="J31" s="75">
        <f t="shared" si="4"/>
        <v>0</v>
      </c>
      <c r="K31" s="75">
        <f t="shared" si="5"/>
        <v>0</v>
      </c>
      <c r="L31" s="75">
        <f t="shared" si="5"/>
        <v>0</v>
      </c>
      <c r="M31" s="79">
        <f t="shared" si="0"/>
        <v>0</v>
      </c>
      <c r="N31" s="33">
        <f t="shared" si="6"/>
        <v>0</v>
      </c>
      <c r="P31" s="67"/>
    </row>
    <row r="32" spans="1:16" s="33" customFormat="1" x14ac:dyDescent="0.25">
      <c r="A32" s="44" t="s">
        <v>58</v>
      </c>
      <c r="B32" s="38" t="s">
        <v>173</v>
      </c>
      <c r="C32" s="33" t="s">
        <v>174</v>
      </c>
      <c r="D32" s="33" t="s">
        <v>174</v>
      </c>
      <c r="E32" s="67"/>
      <c r="F32" s="94" t="s">
        <v>358</v>
      </c>
      <c r="G32" s="33" t="s">
        <v>74</v>
      </c>
      <c r="H32" s="81"/>
      <c r="I32" s="76">
        <f t="shared" si="3"/>
        <v>0</v>
      </c>
      <c r="J32" s="76">
        <f t="shared" si="4"/>
        <v>0</v>
      </c>
      <c r="K32" s="76">
        <f t="shared" si="5"/>
        <v>0</v>
      </c>
      <c r="L32" s="76">
        <f t="shared" si="5"/>
        <v>0</v>
      </c>
      <c r="M32" s="79">
        <f t="shared" si="0"/>
        <v>0</v>
      </c>
      <c r="P32" s="67"/>
    </row>
    <row r="33" spans="1:16" s="40" customFormat="1" ht="60" x14ac:dyDescent="0.25">
      <c r="A33" s="44" t="s">
        <v>58</v>
      </c>
      <c r="B33" s="38" t="s">
        <v>175</v>
      </c>
      <c r="C33" s="30" t="s">
        <v>176</v>
      </c>
      <c r="D33" s="30" t="s">
        <v>176</v>
      </c>
      <c r="E33" s="70"/>
      <c r="F33" s="97" t="s">
        <v>337</v>
      </c>
      <c r="G33" s="40" t="s">
        <v>74</v>
      </c>
      <c r="H33" s="83"/>
      <c r="I33" s="76">
        <f t="shared" si="3"/>
        <v>0</v>
      </c>
      <c r="J33" s="76">
        <f t="shared" si="4"/>
        <v>0</v>
      </c>
      <c r="K33" s="76">
        <f t="shared" si="5"/>
        <v>0</v>
      </c>
      <c r="L33" s="76">
        <f t="shared" si="5"/>
        <v>0</v>
      </c>
      <c r="M33" s="79">
        <f t="shared" si="0"/>
        <v>0</v>
      </c>
      <c r="N33" s="40">
        <f t="shared" si="6"/>
        <v>0</v>
      </c>
    </row>
    <row r="34" spans="1:16" ht="15" customHeight="1" x14ac:dyDescent="0.25">
      <c r="A34" s="48" t="s">
        <v>70</v>
      </c>
      <c r="B34" s="31" t="s">
        <v>177</v>
      </c>
      <c r="C34" s="9" t="s">
        <v>178</v>
      </c>
      <c r="D34" s="2" t="s">
        <v>179</v>
      </c>
      <c r="F34" s="93" t="s">
        <v>338</v>
      </c>
      <c r="G34" s="4" t="s">
        <v>63</v>
      </c>
      <c r="H34" s="80">
        <v>400</v>
      </c>
      <c r="I34" s="73">
        <f t="shared" si="3"/>
        <v>0</v>
      </c>
      <c r="J34" s="73">
        <f t="shared" si="4"/>
        <v>0</v>
      </c>
      <c r="K34" s="73">
        <f t="shared" si="5"/>
        <v>0</v>
      </c>
      <c r="L34" s="73">
        <f t="shared" si="5"/>
        <v>0</v>
      </c>
      <c r="M34" s="78">
        <f t="shared" si="0"/>
        <v>0</v>
      </c>
      <c r="N34" s="4">
        <f t="shared" si="6"/>
        <v>0</v>
      </c>
      <c r="P34" s="66"/>
    </row>
    <row r="35" spans="1:16" x14ac:dyDescent="0.25">
      <c r="A35" s="48" t="s">
        <v>70</v>
      </c>
      <c r="B35" s="31" t="s">
        <v>180</v>
      </c>
      <c r="C35" s="4" t="s">
        <v>178</v>
      </c>
      <c r="D35" s="2" t="s">
        <v>181</v>
      </c>
      <c r="F35" s="93" t="s">
        <v>339</v>
      </c>
      <c r="G35" s="4" t="s">
        <v>63</v>
      </c>
      <c r="H35" s="80">
        <v>150</v>
      </c>
      <c r="I35" s="73">
        <f t="shared" si="3"/>
        <v>0</v>
      </c>
      <c r="J35" s="73">
        <f t="shared" si="4"/>
        <v>0</v>
      </c>
      <c r="K35" s="73">
        <f t="shared" si="5"/>
        <v>0</v>
      </c>
      <c r="L35" s="73">
        <f t="shared" si="5"/>
        <v>0</v>
      </c>
      <c r="M35" s="78">
        <f t="shared" si="0"/>
        <v>0</v>
      </c>
      <c r="N35" s="4">
        <f t="shared" si="6"/>
        <v>0</v>
      </c>
      <c r="P35" s="66"/>
    </row>
    <row r="36" spans="1:16" x14ac:dyDescent="0.25">
      <c r="A36" s="48" t="s">
        <v>70</v>
      </c>
      <c r="B36" s="31" t="s">
        <v>182</v>
      </c>
      <c r="C36" s="4" t="s">
        <v>178</v>
      </c>
      <c r="D36" s="2" t="s">
        <v>183</v>
      </c>
      <c r="F36" s="93" t="s">
        <v>340</v>
      </c>
      <c r="G36" s="4" t="s">
        <v>63</v>
      </c>
      <c r="H36" s="80">
        <v>150</v>
      </c>
      <c r="I36" s="73">
        <f t="shared" si="3"/>
        <v>0</v>
      </c>
      <c r="J36" s="73">
        <f t="shared" si="4"/>
        <v>0</v>
      </c>
      <c r="K36" s="73">
        <f t="shared" si="5"/>
        <v>0</v>
      </c>
      <c r="L36" s="73">
        <f t="shared" si="5"/>
        <v>0</v>
      </c>
      <c r="M36" s="78">
        <f t="shared" ref="M36:M67" si="7">IF($E36="ne","-",I36+J36+K36+L36)</f>
        <v>0</v>
      </c>
      <c r="N36" s="4">
        <f t="shared" si="6"/>
        <v>0</v>
      </c>
      <c r="P36" s="66"/>
    </row>
    <row r="37" spans="1:16" x14ac:dyDescent="0.25">
      <c r="A37" s="48" t="s">
        <v>70</v>
      </c>
      <c r="B37" s="31" t="s">
        <v>184</v>
      </c>
      <c r="C37" s="4" t="s">
        <v>178</v>
      </c>
      <c r="D37" s="2" t="s">
        <v>185</v>
      </c>
      <c r="F37" s="98" t="s">
        <v>341</v>
      </c>
      <c r="G37" s="4" t="s">
        <v>63</v>
      </c>
      <c r="H37" s="80">
        <v>100</v>
      </c>
      <c r="I37" s="73">
        <f t="shared" si="3"/>
        <v>0</v>
      </c>
      <c r="J37" s="73">
        <f t="shared" si="4"/>
        <v>0</v>
      </c>
      <c r="K37" s="73">
        <f t="shared" ref="K37:L56" si="8">IF($E37="ne","-",)</f>
        <v>0</v>
      </c>
      <c r="L37" s="73">
        <f t="shared" si="8"/>
        <v>0</v>
      </c>
      <c r="M37" s="78">
        <f t="shared" si="7"/>
        <v>0</v>
      </c>
      <c r="N37" s="4">
        <f t="shared" si="6"/>
        <v>0</v>
      </c>
      <c r="P37" s="66"/>
    </row>
    <row r="38" spans="1:16" x14ac:dyDescent="0.25">
      <c r="A38" s="48" t="s">
        <v>70</v>
      </c>
      <c r="B38" s="31" t="s">
        <v>186</v>
      </c>
      <c r="C38" s="4" t="s">
        <v>178</v>
      </c>
      <c r="D38" s="2" t="s">
        <v>187</v>
      </c>
      <c r="F38" s="93" t="s">
        <v>339</v>
      </c>
      <c r="G38" s="4" t="s">
        <v>63</v>
      </c>
      <c r="H38" s="80">
        <v>80</v>
      </c>
      <c r="I38" s="73">
        <f t="shared" ref="I38:I56" si="9">IF($E38="ne","-",)</f>
        <v>0</v>
      </c>
      <c r="J38" s="73">
        <f t="shared" si="4"/>
        <v>0</v>
      </c>
      <c r="K38" s="73">
        <f t="shared" si="8"/>
        <v>0</v>
      </c>
      <c r="L38" s="73">
        <f t="shared" si="8"/>
        <v>0</v>
      </c>
      <c r="M38" s="78">
        <f t="shared" si="7"/>
        <v>0</v>
      </c>
      <c r="N38" s="4">
        <f t="shared" si="6"/>
        <v>0</v>
      </c>
      <c r="P38" s="66"/>
    </row>
    <row r="39" spans="1:16" x14ac:dyDescent="0.25">
      <c r="A39" s="48" t="s">
        <v>70</v>
      </c>
      <c r="B39" s="31" t="s">
        <v>188</v>
      </c>
      <c r="C39" s="4" t="s">
        <v>178</v>
      </c>
      <c r="D39" s="2" t="s">
        <v>189</v>
      </c>
      <c r="F39" s="93" t="s">
        <v>342</v>
      </c>
      <c r="G39" s="4" t="s">
        <v>63</v>
      </c>
      <c r="H39" s="80"/>
      <c r="I39" s="73">
        <f t="shared" si="9"/>
        <v>0</v>
      </c>
      <c r="J39" s="73">
        <f t="shared" si="4"/>
        <v>0</v>
      </c>
      <c r="K39" s="73">
        <f t="shared" si="8"/>
        <v>0</v>
      </c>
      <c r="L39" s="73">
        <f t="shared" si="8"/>
        <v>0</v>
      </c>
      <c r="M39" s="78">
        <f t="shared" si="7"/>
        <v>0</v>
      </c>
      <c r="N39" s="4">
        <f t="shared" si="6"/>
        <v>0</v>
      </c>
      <c r="P39" s="66"/>
    </row>
    <row r="40" spans="1:16" ht="150" x14ac:dyDescent="0.25">
      <c r="A40" s="48" t="s">
        <v>70</v>
      </c>
      <c r="B40" s="31" t="s">
        <v>190</v>
      </c>
      <c r="C40" s="4" t="s">
        <v>178</v>
      </c>
      <c r="D40" s="4" t="s">
        <v>191</v>
      </c>
      <c r="F40" s="99" t="s">
        <v>343</v>
      </c>
      <c r="G40" s="4" t="s">
        <v>63</v>
      </c>
      <c r="H40" s="80">
        <v>70</v>
      </c>
      <c r="I40" s="73">
        <f t="shared" si="9"/>
        <v>0</v>
      </c>
      <c r="J40" s="73">
        <f t="shared" si="4"/>
        <v>0</v>
      </c>
      <c r="K40" s="73">
        <f t="shared" si="8"/>
        <v>0</v>
      </c>
      <c r="L40" s="73">
        <f t="shared" si="8"/>
        <v>0</v>
      </c>
      <c r="M40" s="78">
        <f t="shared" si="7"/>
        <v>0</v>
      </c>
      <c r="N40" s="4">
        <f t="shared" si="6"/>
        <v>0</v>
      </c>
      <c r="P40" s="66"/>
    </row>
    <row r="41" spans="1:16" x14ac:dyDescent="0.25">
      <c r="A41" s="48" t="s">
        <v>70</v>
      </c>
      <c r="B41" s="31" t="s">
        <v>192</v>
      </c>
      <c r="C41" s="9" t="s">
        <v>193</v>
      </c>
      <c r="D41" s="8" t="s">
        <v>194</v>
      </c>
      <c r="F41" s="93"/>
      <c r="G41" s="4" t="s">
        <v>63</v>
      </c>
      <c r="H41" s="80"/>
      <c r="I41" s="73">
        <f t="shared" si="9"/>
        <v>0</v>
      </c>
      <c r="J41" s="73">
        <f t="shared" si="4"/>
        <v>0</v>
      </c>
      <c r="K41" s="73">
        <f t="shared" si="8"/>
        <v>0</v>
      </c>
      <c r="L41" s="73">
        <f t="shared" si="8"/>
        <v>0</v>
      </c>
      <c r="M41" s="78">
        <f t="shared" si="7"/>
        <v>0</v>
      </c>
      <c r="N41" s="4">
        <f t="shared" si="6"/>
        <v>0</v>
      </c>
      <c r="P41" s="66"/>
    </row>
    <row r="42" spans="1:16" x14ac:dyDescent="0.25">
      <c r="A42" s="48" t="s">
        <v>70</v>
      </c>
      <c r="B42" s="31" t="s">
        <v>195</v>
      </c>
      <c r="C42" s="4" t="s">
        <v>193</v>
      </c>
      <c r="D42" s="8" t="s">
        <v>196</v>
      </c>
      <c r="F42" s="98" t="s">
        <v>344</v>
      </c>
      <c r="G42" s="4" t="s">
        <v>63</v>
      </c>
      <c r="H42" s="80"/>
      <c r="I42" s="73">
        <f t="shared" si="9"/>
        <v>0</v>
      </c>
      <c r="J42" s="73">
        <f t="shared" si="4"/>
        <v>0</v>
      </c>
      <c r="K42" s="73">
        <f t="shared" si="8"/>
        <v>0</v>
      </c>
      <c r="L42" s="73">
        <f t="shared" si="8"/>
        <v>0</v>
      </c>
      <c r="M42" s="78">
        <f t="shared" si="7"/>
        <v>0</v>
      </c>
      <c r="N42" s="4">
        <f t="shared" si="6"/>
        <v>0</v>
      </c>
      <c r="P42" s="66"/>
    </row>
    <row r="43" spans="1:16" s="33" customFormat="1" x14ac:dyDescent="0.25">
      <c r="A43" s="84" t="s">
        <v>70</v>
      </c>
      <c r="B43" s="34" t="s">
        <v>197</v>
      </c>
      <c r="C43" s="85" t="s">
        <v>193</v>
      </c>
      <c r="D43" s="25" t="s">
        <v>198</v>
      </c>
      <c r="E43" s="67"/>
      <c r="F43" s="94"/>
      <c r="H43" s="81"/>
      <c r="I43" s="75">
        <f t="shared" si="9"/>
        <v>0</v>
      </c>
      <c r="J43" s="75">
        <f t="shared" si="4"/>
        <v>0</v>
      </c>
      <c r="K43" s="75">
        <f t="shared" si="8"/>
        <v>0</v>
      </c>
      <c r="L43" s="75">
        <f t="shared" si="8"/>
        <v>0</v>
      </c>
      <c r="M43" s="79">
        <f t="shared" si="7"/>
        <v>0</v>
      </c>
      <c r="N43" s="33">
        <f t="shared" si="6"/>
        <v>0</v>
      </c>
      <c r="P43" s="67"/>
    </row>
    <row r="44" spans="1:16" ht="120" x14ac:dyDescent="0.25">
      <c r="A44" s="48" t="s">
        <v>70</v>
      </c>
      <c r="B44" s="51" t="s">
        <v>199</v>
      </c>
      <c r="C44" s="22" t="s">
        <v>200</v>
      </c>
      <c r="D44" s="23" t="s">
        <v>201</v>
      </c>
      <c r="F44" s="100" t="s">
        <v>345</v>
      </c>
      <c r="G44" s="4" t="s">
        <v>63</v>
      </c>
      <c r="H44" s="80">
        <v>3</v>
      </c>
      <c r="I44" s="73">
        <f t="shared" si="9"/>
        <v>0</v>
      </c>
      <c r="J44" s="73">
        <f t="shared" si="4"/>
        <v>0</v>
      </c>
      <c r="K44" s="73">
        <f t="shared" si="8"/>
        <v>0</v>
      </c>
      <c r="L44" s="73">
        <f t="shared" si="8"/>
        <v>0</v>
      </c>
      <c r="M44" s="78">
        <f t="shared" si="7"/>
        <v>0</v>
      </c>
      <c r="N44" s="4">
        <f t="shared" si="6"/>
        <v>0</v>
      </c>
      <c r="P44" s="66"/>
    </row>
    <row r="45" spans="1:16" ht="90" x14ac:dyDescent="0.25">
      <c r="A45" s="48" t="s">
        <v>70</v>
      </c>
      <c r="B45" s="51" t="s">
        <v>199</v>
      </c>
      <c r="C45" s="22" t="s">
        <v>200</v>
      </c>
      <c r="D45" s="23" t="s">
        <v>202</v>
      </c>
      <c r="F45" s="100" t="s">
        <v>346</v>
      </c>
      <c r="G45" s="4" t="s">
        <v>63</v>
      </c>
      <c r="H45" s="80">
        <v>3</v>
      </c>
      <c r="I45" s="73">
        <f t="shared" si="9"/>
        <v>0</v>
      </c>
      <c r="J45" s="73">
        <f t="shared" si="4"/>
        <v>0</v>
      </c>
      <c r="K45" s="73">
        <f t="shared" si="8"/>
        <v>0</v>
      </c>
      <c r="L45" s="73">
        <f t="shared" si="8"/>
        <v>0</v>
      </c>
      <c r="M45" s="78">
        <f t="shared" si="7"/>
        <v>0</v>
      </c>
      <c r="N45" s="4">
        <f t="shared" si="6"/>
        <v>0</v>
      </c>
      <c r="P45" s="66"/>
    </row>
    <row r="46" spans="1:16" s="33" customFormat="1" ht="120" x14ac:dyDescent="0.25">
      <c r="A46" s="49" t="s">
        <v>70</v>
      </c>
      <c r="B46" s="52" t="s">
        <v>203</v>
      </c>
      <c r="C46" s="24" t="s">
        <v>200</v>
      </c>
      <c r="D46" s="25" t="s">
        <v>204</v>
      </c>
      <c r="E46" s="71"/>
      <c r="F46" s="101" t="s">
        <v>347</v>
      </c>
      <c r="G46" s="33" t="s">
        <v>74</v>
      </c>
      <c r="H46" s="81"/>
      <c r="I46" s="75">
        <f t="shared" si="9"/>
        <v>0</v>
      </c>
      <c r="J46" s="75">
        <f t="shared" si="4"/>
        <v>0</v>
      </c>
      <c r="K46" s="75">
        <f t="shared" si="8"/>
        <v>0</v>
      </c>
      <c r="L46" s="75">
        <f t="shared" si="8"/>
        <v>0</v>
      </c>
      <c r="M46" s="79">
        <f t="shared" si="7"/>
        <v>0</v>
      </c>
      <c r="N46" s="33">
        <v>350</v>
      </c>
      <c r="P46" s="67"/>
    </row>
    <row r="47" spans="1:16" ht="75" x14ac:dyDescent="0.25">
      <c r="A47" s="48" t="s">
        <v>70</v>
      </c>
      <c r="B47" s="51" t="s">
        <v>205</v>
      </c>
      <c r="C47" s="22" t="s">
        <v>206</v>
      </c>
      <c r="D47" s="22" t="s">
        <v>207</v>
      </c>
      <c r="F47" s="99" t="s">
        <v>348</v>
      </c>
      <c r="G47" s="4" t="s">
        <v>63</v>
      </c>
      <c r="H47" s="80">
        <v>20</v>
      </c>
      <c r="I47" s="73">
        <f t="shared" si="9"/>
        <v>0</v>
      </c>
      <c r="J47" s="73">
        <f t="shared" si="4"/>
        <v>0</v>
      </c>
      <c r="K47" s="73">
        <f t="shared" si="8"/>
        <v>0</v>
      </c>
      <c r="L47" s="73">
        <f t="shared" si="8"/>
        <v>0</v>
      </c>
      <c r="M47" s="78">
        <f t="shared" si="7"/>
        <v>0</v>
      </c>
      <c r="N47" s="4">
        <f>M47*H47</f>
        <v>0</v>
      </c>
      <c r="P47" s="66"/>
    </row>
    <row r="48" spans="1:16" s="33" customFormat="1" x14ac:dyDescent="0.25">
      <c r="A48" s="48" t="s">
        <v>70</v>
      </c>
      <c r="B48" s="31" t="s">
        <v>208</v>
      </c>
      <c r="C48" s="4" t="s">
        <v>206</v>
      </c>
      <c r="D48" s="5" t="s">
        <v>209</v>
      </c>
      <c r="E48" s="66"/>
      <c r="F48" s="98" t="s">
        <v>349</v>
      </c>
      <c r="G48" s="4" t="s">
        <v>63</v>
      </c>
      <c r="H48" s="80">
        <v>20</v>
      </c>
      <c r="I48" s="73">
        <f t="shared" si="9"/>
        <v>0</v>
      </c>
      <c r="J48" s="73">
        <f t="shared" si="4"/>
        <v>0</v>
      </c>
      <c r="K48" s="73">
        <f t="shared" si="8"/>
        <v>0</v>
      </c>
      <c r="L48" s="73">
        <f t="shared" si="8"/>
        <v>0</v>
      </c>
      <c r="M48" s="78">
        <f t="shared" si="7"/>
        <v>0</v>
      </c>
      <c r="N48" s="4">
        <f>M48*H48</f>
        <v>0</v>
      </c>
      <c r="O48" s="4"/>
      <c r="P48" s="67"/>
    </row>
    <row r="49" spans="1:16" x14ac:dyDescent="0.25">
      <c r="A49" s="47" t="s">
        <v>70</v>
      </c>
      <c r="B49" s="41" t="s">
        <v>210</v>
      </c>
      <c r="C49" s="20" t="s">
        <v>211</v>
      </c>
      <c r="D49" s="7" t="s">
        <v>212</v>
      </c>
      <c r="E49" s="68"/>
      <c r="F49" s="103" t="s">
        <v>350</v>
      </c>
      <c r="G49" s="36" t="s">
        <v>63</v>
      </c>
      <c r="H49" s="82"/>
      <c r="I49" s="74">
        <f t="shared" si="9"/>
        <v>0</v>
      </c>
      <c r="J49" s="74">
        <f t="shared" si="4"/>
        <v>0</v>
      </c>
      <c r="K49" s="74">
        <f t="shared" si="8"/>
        <v>0</v>
      </c>
      <c r="L49" s="74">
        <f t="shared" si="8"/>
        <v>0</v>
      </c>
      <c r="M49" s="104">
        <f t="shared" si="7"/>
        <v>0</v>
      </c>
      <c r="N49" s="36"/>
      <c r="O49" s="36"/>
      <c r="P49" s="66"/>
    </row>
    <row r="50" spans="1:16" x14ac:dyDescent="0.25">
      <c r="A50" s="48" t="s">
        <v>70</v>
      </c>
      <c r="B50" s="31" t="s">
        <v>213</v>
      </c>
      <c r="C50" s="22" t="s">
        <v>211</v>
      </c>
      <c r="D50" s="8" t="s">
        <v>214</v>
      </c>
      <c r="F50" s="93" t="s">
        <v>351</v>
      </c>
      <c r="G50" s="4" t="s">
        <v>74</v>
      </c>
      <c r="H50" s="80"/>
      <c r="I50" s="73">
        <f t="shared" si="9"/>
        <v>0</v>
      </c>
      <c r="J50" s="73">
        <f t="shared" si="4"/>
        <v>0</v>
      </c>
      <c r="K50" s="73">
        <f t="shared" si="8"/>
        <v>0</v>
      </c>
      <c r="L50" s="73">
        <f t="shared" si="8"/>
        <v>0</v>
      </c>
      <c r="M50" s="78">
        <f t="shared" si="7"/>
        <v>0</v>
      </c>
      <c r="P50" s="66"/>
    </row>
    <row r="51" spans="1:16" x14ac:dyDescent="0.25">
      <c r="A51" s="48" t="s">
        <v>70</v>
      </c>
      <c r="B51" s="31" t="s">
        <v>215</v>
      </c>
      <c r="C51" s="22" t="s">
        <v>211</v>
      </c>
      <c r="D51" s="8" t="s">
        <v>216</v>
      </c>
      <c r="F51" s="93" t="s">
        <v>352</v>
      </c>
      <c r="G51" s="4" t="s">
        <v>63</v>
      </c>
      <c r="H51" s="80"/>
      <c r="I51" s="73">
        <f t="shared" si="9"/>
        <v>0</v>
      </c>
      <c r="J51" s="73">
        <f t="shared" si="4"/>
        <v>0</v>
      </c>
      <c r="K51" s="73">
        <f t="shared" si="8"/>
        <v>0</v>
      </c>
      <c r="L51" s="73">
        <f t="shared" si="8"/>
        <v>0</v>
      </c>
      <c r="M51" s="78">
        <f t="shared" si="7"/>
        <v>0</v>
      </c>
      <c r="P51" s="66"/>
    </row>
    <row r="52" spans="1:16" x14ac:dyDescent="0.25">
      <c r="A52" s="48" t="s">
        <v>70</v>
      </c>
      <c r="B52" s="31" t="s">
        <v>217</v>
      </c>
      <c r="C52" s="22" t="s">
        <v>211</v>
      </c>
      <c r="D52" s="8" t="s">
        <v>218</v>
      </c>
      <c r="F52" s="93" t="s">
        <v>353</v>
      </c>
      <c r="G52" s="4" t="s">
        <v>74</v>
      </c>
      <c r="H52" s="80"/>
      <c r="I52" s="73">
        <f t="shared" si="9"/>
        <v>0</v>
      </c>
      <c r="J52" s="73">
        <f t="shared" si="4"/>
        <v>0</v>
      </c>
      <c r="K52" s="73">
        <f t="shared" si="8"/>
        <v>0</v>
      </c>
      <c r="L52" s="73">
        <f t="shared" si="8"/>
        <v>0</v>
      </c>
      <c r="M52" s="78">
        <f t="shared" si="7"/>
        <v>0</v>
      </c>
      <c r="P52" s="66"/>
    </row>
    <row r="53" spans="1:16" x14ac:dyDescent="0.25">
      <c r="A53" s="48" t="s">
        <v>70</v>
      </c>
      <c r="B53" s="31" t="s">
        <v>219</v>
      </c>
      <c r="C53" s="22" t="s">
        <v>211</v>
      </c>
      <c r="D53" s="8" t="s">
        <v>220</v>
      </c>
      <c r="F53" s="93" t="s">
        <v>354</v>
      </c>
      <c r="G53" s="4" t="s">
        <v>63</v>
      </c>
      <c r="H53" s="80"/>
      <c r="I53" s="73">
        <f t="shared" si="9"/>
        <v>0</v>
      </c>
      <c r="J53" s="73">
        <f t="shared" si="4"/>
        <v>0</v>
      </c>
      <c r="K53" s="73">
        <f t="shared" si="8"/>
        <v>0</v>
      </c>
      <c r="L53" s="73">
        <f t="shared" si="8"/>
        <v>0</v>
      </c>
      <c r="M53" s="78">
        <f t="shared" si="7"/>
        <v>0</v>
      </c>
      <c r="P53" s="66"/>
    </row>
    <row r="54" spans="1:16" x14ac:dyDescent="0.25">
      <c r="A54" s="48" t="s">
        <v>70</v>
      </c>
      <c r="B54" s="31" t="s">
        <v>221</v>
      </c>
      <c r="C54" s="22" t="s">
        <v>211</v>
      </c>
      <c r="D54" s="8" t="s">
        <v>222</v>
      </c>
      <c r="F54" s="93" t="s">
        <v>355</v>
      </c>
      <c r="G54" s="4" t="s">
        <v>63</v>
      </c>
      <c r="H54" s="80"/>
      <c r="I54" s="73">
        <f t="shared" si="9"/>
        <v>0</v>
      </c>
      <c r="J54" s="73">
        <f t="shared" si="4"/>
        <v>0</v>
      </c>
      <c r="K54" s="73">
        <f t="shared" si="8"/>
        <v>0</v>
      </c>
      <c r="L54" s="73">
        <f t="shared" si="8"/>
        <v>0</v>
      </c>
      <c r="M54" s="78">
        <f t="shared" si="7"/>
        <v>0</v>
      </c>
      <c r="P54" s="66"/>
    </row>
    <row r="55" spans="1:16" x14ac:dyDescent="0.25">
      <c r="A55" s="48" t="s">
        <v>70</v>
      </c>
      <c r="B55" s="31" t="s">
        <v>223</v>
      </c>
      <c r="C55" s="22" t="s">
        <v>211</v>
      </c>
      <c r="D55" s="4" t="s">
        <v>224</v>
      </c>
      <c r="F55" s="93" t="s">
        <v>355</v>
      </c>
      <c r="G55" s="4" t="s">
        <v>63</v>
      </c>
      <c r="H55" s="80"/>
      <c r="I55" s="73">
        <f t="shared" si="9"/>
        <v>0</v>
      </c>
      <c r="J55" s="73">
        <f t="shared" si="4"/>
        <v>0</v>
      </c>
      <c r="K55" s="73">
        <f t="shared" si="8"/>
        <v>0</v>
      </c>
      <c r="L55" s="73">
        <f t="shared" si="8"/>
        <v>0</v>
      </c>
      <c r="M55" s="78">
        <f t="shared" si="7"/>
        <v>0</v>
      </c>
      <c r="P55" s="66"/>
    </row>
    <row r="56" spans="1:16" x14ac:dyDescent="0.25">
      <c r="A56" s="48" t="s">
        <v>70</v>
      </c>
      <c r="B56" s="31" t="s">
        <v>226</v>
      </c>
      <c r="C56" s="22" t="s">
        <v>211</v>
      </c>
      <c r="D56" s="8" t="s">
        <v>227</v>
      </c>
      <c r="F56" s="93" t="s">
        <v>356</v>
      </c>
      <c r="G56" s="4" t="s">
        <v>63</v>
      </c>
      <c r="H56" s="80"/>
      <c r="I56" s="73">
        <f t="shared" si="9"/>
        <v>0</v>
      </c>
      <c r="J56" s="73">
        <f t="shared" si="4"/>
        <v>0</v>
      </c>
      <c r="K56" s="73">
        <f t="shared" si="8"/>
        <v>0</v>
      </c>
      <c r="L56" s="73">
        <f t="shared" si="8"/>
        <v>0</v>
      </c>
      <c r="M56" s="78">
        <f t="shared" si="7"/>
        <v>0</v>
      </c>
      <c r="P56" s="66"/>
    </row>
    <row r="57" spans="1:16" x14ac:dyDescent="0.25">
      <c r="A57" s="48" t="s">
        <v>70</v>
      </c>
      <c r="B57" s="86" t="s">
        <v>228</v>
      </c>
      <c r="C57" s="4" t="s">
        <v>211</v>
      </c>
      <c r="D57" s="4" t="s">
        <v>229</v>
      </c>
      <c r="E57" s="4"/>
      <c r="G57" s="4" t="s">
        <v>63</v>
      </c>
      <c r="I57" s="4">
        <v>0</v>
      </c>
      <c r="J57" s="4">
        <v>0</v>
      </c>
      <c r="K57" s="4">
        <v>0</v>
      </c>
      <c r="L57" s="4">
        <v>0</v>
      </c>
      <c r="M57" s="78">
        <f t="shared" si="7"/>
        <v>0</v>
      </c>
      <c r="P57" s="66"/>
    </row>
    <row r="58" spans="1:16" s="33" customFormat="1" x14ac:dyDescent="0.25">
      <c r="A58" s="49" t="s">
        <v>70</v>
      </c>
      <c r="B58" s="34" t="s">
        <v>71</v>
      </c>
      <c r="C58" s="24" t="s">
        <v>211</v>
      </c>
      <c r="D58" s="11" t="s">
        <v>73</v>
      </c>
      <c r="E58" s="67"/>
      <c r="F58" s="94" t="s">
        <v>357</v>
      </c>
      <c r="G58" s="33" t="s">
        <v>74</v>
      </c>
      <c r="H58" s="81"/>
      <c r="I58" s="75">
        <v>0</v>
      </c>
      <c r="J58" s="75">
        <v>0</v>
      </c>
      <c r="K58" s="75">
        <v>0</v>
      </c>
      <c r="L58" s="75">
        <v>0</v>
      </c>
      <c r="M58" s="79">
        <f t="shared" si="7"/>
        <v>0</v>
      </c>
      <c r="N58" s="33">
        <f>M56*H56</f>
        <v>0</v>
      </c>
      <c r="P58" s="67"/>
    </row>
    <row r="59" spans="1:16" x14ac:dyDescent="0.25">
      <c r="A59" s="48" t="s">
        <v>70</v>
      </c>
      <c r="B59" s="31" t="s">
        <v>231</v>
      </c>
      <c r="C59" s="9" t="s">
        <v>232</v>
      </c>
      <c r="D59" s="5" t="s">
        <v>233</v>
      </c>
      <c r="F59" s="93" t="s">
        <v>358</v>
      </c>
      <c r="G59" s="4" t="s">
        <v>74</v>
      </c>
      <c r="H59" s="80"/>
      <c r="I59" s="73">
        <f t="shared" ref="I59:L74" si="10">IF($E59="ne","-",)</f>
        <v>0</v>
      </c>
      <c r="J59" s="73">
        <f t="shared" si="10"/>
        <v>0</v>
      </c>
      <c r="K59" s="73">
        <f t="shared" si="10"/>
        <v>0</v>
      </c>
      <c r="L59" s="73">
        <f t="shared" si="10"/>
        <v>0</v>
      </c>
      <c r="M59" s="78">
        <f t="shared" si="7"/>
        <v>0</v>
      </c>
      <c r="N59" s="4">
        <f t="shared" ref="N59:N74" si="11">M59*H59</f>
        <v>0</v>
      </c>
      <c r="P59" s="66"/>
    </row>
    <row r="60" spans="1:16" ht="90" x14ac:dyDescent="0.25">
      <c r="A60" s="48" t="s">
        <v>70</v>
      </c>
      <c r="B60" s="31" t="s">
        <v>234</v>
      </c>
      <c r="C60" s="4" t="s">
        <v>235</v>
      </c>
      <c r="D60" s="5" t="s">
        <v>236</v>
      </c>
      <c r="E60" s="72"/>
      <c r="F60" s="100" t="s">
        <v>359</v>
      </c>
      <c r="G60" s="4" t="s">
        <v>74</v>
      </c>
      <c r="H60" s="80"/>
      <c r="I60" s="73">
        <f t="shared" si="10"/>
        <v>0</v>
      </c>
      <c r="J60" s="73">
        <f t="shared" si="10"/>
        <v>0</v>
      </c>
      <c r="K60" s="73">
        <f t="shared" si="10"/>
        <v>0</v>
      </c>
      <c r="L60" s="73">
        <f t="shared" si="10"/>
        <v>0</v>
      </c>
      <c r="M60" s="78">
        <f t="shared" si="7"/>
        <v>0</v>
      </c>
      <c r="N60" s="4">
        <f t="shared" si="11"/>
        <v>0</v>
      </c>
      <c r="P60" s="66"/>
    </row>
    <row r="61" spans="1:16" x14ac:dyDescent="0.25">
      <c r="A61" s="48" t="s">
        <v>70</v>
      </c>
      <c r="B61" s="31" t="s">
        <v>237</v>
      </c>
      <c r="C61" s="4" t="s">
        <v>232</v>
      </c>
      <c r="D61" s="5" t="s">
        <v>238</v>
      </c>
      <c r="F61" s="93" t="s">
        <v>360</v>
      </c>
      <c r="G61" s="4" t="s">
        <v>74</v>
      </c>
      <c r="H61" s="80"/>
      <c r="I61" s="73">
        <f t="shared" si="10"/>
        <v>0</v>
      </c>
      <c r="J61" s="73">
        <f t="shared" si="10"/>
        <v>0</v>
      </c>
      <c r="K61" s="73">
        <f t="shared" si="10"/>
        <v>0</v>
      </c>
      <c r="L61" s="73">
        <f t="shared" si="10"/>
        <v>0</v>
      </c>
      <c r="M61" s="78">
        <f t="shared" si="7"/>
        <v>0</v>
      </c>
      <c r="N61" s="4">
        <f t="shared" si="11"/>
        <v>0</v>
      </c>
      <c r="P61" s="66"/>
    </row>
    <row r="62" spans="1:16" s="33" customFormat="1" x14ac:dyDescent="0.25">
      <c r="A62" s="49" t="s">
        <v>70</v>
      </c>
      <c r="B62" s="34" t="s">
        <v>239</v>
      </c>
      <c r="C62" s="33" t="s">
        <v>232</v>
      </c>
      <c r="D62" s="6" t="s">
        <v>240</v>
      </c>
      <c r="E62" s="67"/>
      <c r="F62" s="94" t="s">
        <v>361</v>
      </c>
      <c r="G62" s="33" t="s">
        <v>74</v>
      </c>
      <c r="H62" s="81">
        <v>150</v>
      </c>
      <c r="I62" s="75">
        <f t="shared" si="10"/>
        <v>0</v>
      </c>
      <c r="J62" s="75">
        <f t="shared" si="10"/>
        <v>0</v>
      </c>
      <c r="K62" s="75">
        <f t="shared" si="10"/>
        <v>0</v>
      </c>
      <c r="L62" s="75">
        <f t="shared" si="10"/>
        <v>0</v>
      </c>
      <c r="M62" s="79">
        <f t="shared" si="7"/>
        <v>0</v>
      </c>
      <c r="N62" s="33">
        <f t="shared" si="11"/>
        <v>0</v>
      </c>
      <c r="P62" s="67"/>
    </row>
    <row r="63" spans="1:16" ht="60" x14ac:dyDescent="0.25">
      <c r="A63" s="48" t="s">
        <v>70</v>
      </c>
      <c r="B63" s="31" t="s">
        <v>241</v>
      </c>
      <c r="C63" s="9" t="s">
        <v>242</v>
      </c>
      <c r="D63" s="5" t="s">
        <v>243</v>
      </c>
      <c r="E63" s="72"/>
      <c r="F63" s="100" t="s">
        <v>362</v>
      </c>
      <c r="G63" s="4" t="s">
        <v>74</v>
      </c>
      <c r="H63" s="80">
        <v>1200</v>
      </c>
      <c r="I63" s="73">
        <f t="shared" si="10"/>
        <v>0</v>
      </c>
      <c r="J63" s="73">
        <f t="shared" si="10"/>
        <v>0</v>
      </c>
      <c r="K63" s="73">
        <f t="shared" si="10"/>
        <v>0</v>
      </c>
      <c r="L63" s="73">
        <f t="shared" si="10"/>
        <v>0</v>
      </c>
      <c r="M63" s="78">
        <f t="shared" si="7"/>
        <v>0</v>
      </c>
      <c r="N63" s="4">
        <f t="shared" si="11"/>
        <v>0</v>
      </c>
      <c r="P63" s="66"/>
    </row>
    <row r="64" spans="1:16" x14ac:dyDescent="0.25">
      <c r="A64" s="48" t="s">
        <v>70</v>
      </c>
      <c r="B64" s="31" t="s">
        <v>244</v>
      </c>
      <c r="C64" s="4" t="s">
        <v>242</v>
      </c>
      <c r="D64" s="8" t="s">
        <v>245</v>
      </c>
      <c r="F64" s="93" t="s">
        <v>363</v>
      </c>
      <c r="G64" s="4" t="s">
        <v>74</v>
      </c>
      <c r="H64" s="80"/>
      <c r="I64" s="73">
        <f t="shared" si="10"/>
        <v>0</v>
      </c>
      <c r="J64" s="73">
        <f t="shared" si="10"/>
        <v>0</v>
      </c>
      <c r="K64" s="73">
        <f t="shared" si="10"/>
        <v>0</v>
      </c>
      <c r="L64" s="73">
        <f t="shared" si="10"/>
        <v>0</v>
      </c>
      <c r="M64" s="78">
        <f t="shared" si="7"/>
        <v>0</v>
      </c>
      <c r="N64" s="4">
        <f t="shared" si="11"/>
        <v>0</v>
      </c>
      <c r="P64" s="66"/>
    </row>
    <row r="65" spans="1:16" s="33" customFormat="1" x14ac:dyDescent="0.25">
      <c r="A65" s="49" t="s">
        <v>70</v>
      </c>
      <c r="B65" s="34" t="s">
        <v>246</v>
      </c>
      <c r="C65" s="33" t="s">
        <v>242</v>
      </c>
      <c r="D65" s="11" t="s">
        <v>247</v>
      </c>
      <c r="E65" s="67"/>
      <c r="F65" s="94" t="s">
        <v>364</v>
      </c>
      <c r="G65" s="33" t="s">
        <v>74</v>
      </c>
      <c r="H65" s="81"/>
      <c r="I65" s="75">
        <f t="shared" si="10"/>
        <v>0</v>
      </c>
      <c r="J65" s="75">
        <f t="shared" si="10"/>
        <v>0</v>
      </c>
      <c r="K65" s="75">
        <f t="shared" si="10"/>
        <v>0</v>
      </c>
      <c r="L65" s="75">
        <f t="shared" si="10"/>
        <v>0</v>
      </c>
      <c r="M65" s="79">
        <f t="shared" si="7"/>
        <v>0</v>
      </c>
      <c r="N65" s="33">
        <f t="shared" si="11"/>
        <v>0</v>
      </c>
      <c r="P65" s="67"/>
    </row>
    <row r="66" spans="1:16" ht="30" x14ac:dyDescent="0.25">
      <c r="A66" s="48" t="s">
        <v>70</v>
      </c>
      <c r="B66" s="31" t="s">
        <v>248</v>
      </c>
      <c r="C66" s="9" t="s">
        <v>249</v>
      </c>
      <c r="D66" s="8" t="s">
        <v>250</v>
      </c>
      <c r="F66" s="100" t="s">
        <v>365</v>
      </c>
      <c r="G66" s="4" t="s">
        <v>74</v>
      </c>
      <c r="H66" s="80">
        <v>200</v>
      </c>
      <c r="I66" s="73">
        <f t="shared" si="10"/>
        <v>0</v>
      </c>
      <c r="J66" s="73">
        <f t="shared" si="10"/>
        <v>0</v>
      </c>
      <c r="K66" s="73">
        <f t="shared" si="10"/>
        <v>0</v>
      </c>
      <c r="L66" s="73">
        <f t="shared" si="10"/>
        <v>0</v>
      </c>
      <c r="M66" s="78">
        <f t="shared" si="7"/>
        <v>0</v>
      </c>
      <c r="N66" s="4">
        <f t="shared" si="11"/>
        <v>0</v>
      </c>
      <c r="P66" s="66"/>
    </row>
    <row r="67" spans="1:16" x14ac:dyDescent="0.25">
      <c r="A67" s="48" t="s">
        <v>70</v>
      </c>
      <c r="B67" s="31" t="s">
        <v>251</v>
      </c>
      <c r="C67" s="4" t="s">
        <v>249</v>
      </c>
      <c r="D67" s="8" t="s">
        <v>252</v>
      </c>
      <c r="F67" s="93" t="s">
        <v>366</v>
      </c>
      <c r="G67" s="4" t="s">
        <v>74</v>
      </c>
      <c r="H67" s="80"/>
      <c r="I67" s="73">
        <f t="shared" si="10"/>
        <v>0</v>
      </c>
      <c r="J67" s="73">
        <f t="shared" si="10"/>
        <v>0</v>
      </c>
      <c r="K67" s="73">
        <f t="shared" si="10"/>
        <v>0</v>
      </c>
      <c r="L67" s="73">
        <f t="shared" si="10"/>
        <v>0</v>
      </c>
      <c r="M67" s="78">
        <f t="shared" si="7"/>
        <v>0</v>
      </c>
      <c r="N67" s="4">
        <f t="shared" si="11"/>
        <v>0</v>
      </c>
      <c r="P67" s="66"/>
    </row>
    <row r="68" spans="1:16" s="33" customFormat="1" x14ac:dyDescent="0.25">
      <c r="A68" s="49" t="s">
        <v>70</v>
      </c>
      <c r="B68" s="34" t="s">
        <v>253</v>
      </c>
      <c r="C68" s="33" t="s">
        <v>249</v>
      </c>
      <c r="D68" s="11" t="s">
        <v>254</v>
      </c>
      <c r="E68" s="67"/>
      <c r="F68" s="94" t="s">
        <v>358</v>
      </c>
      <c r="G68" s="33" t="s">
        <v>74</v>
      </c>
      <c r="H68" s="81">
        <v>70</v>
      </c>
      <c r="I68" s="75">
        <f t="shared" si="10"/>
        <v>0</v>
      </c>
      <c r="J68" s="75">
        <f t="shared" si="10"/>
        <v>0</v>
      </c>
      <c r="K68" s="75">
        <f t="shared" si="10"/>
        <v>0</v>
      </c>
      <c r="L68" s="75">
        <f t="shared" si="10"/>
        <v>0</v>
      </c>
      <c r="M68" s="79">
        <f t="shared" ref="M68:M74" si="12">IF($E68="ne","-",I68+J68+K68+L68)</f>
        <v>0</v>
      </c>
      <c r="N68" s="33">
        <f t="shared" si="11"/>
        <v>0</v>
      </c>
      <c r="P68" s="67"/>
    </row>
    <row r="69" spans="1:16" x14ac:dyDescent="0.25">
      <c r="A69" s="48" t="s">
        <v>70</v>
      </c>
      <c r="B69" s="31" t="s">
        <v>255</v>
      </c>
      <c r="C69" s="9" t="s">
        <v>256</v>
      </c>
      <c r="D69" s="5" t="s">
        <v>257</v>
      </c>
      <c r="F69" s="93" t="s">
        <v>351</v>
      </c>
      <c r="G69" s="4" t="s">
        <v>74</v>
      </c>
      <c r="H69" s="80">
        <v>150</v>
      </c>
      <c r="I69" s="73">
        <f t="shared" si="10"/>
        <v>0</v>
      </c>
      <c r="J69" s="73">
        <f t="shared" si="10"/>
        <v>0</v>
      </c>
      <c r="K69" s="73">
        <f t="shared" si="10"/>
        <v>0</v>
      </c>
      <c r="L69" s="73">
        <f t="shared" si="10"/>
        <v>0</v>
      </c>
      <c r="M69" s="78">
        <f t="shared" si="12"/>
        <v>0</v>
      </c>
      <c r="N69" s="4">
        <f t="shared" si="11"/>
        <v>0</v>
      </c>
      <c r="P69" s="66"/>
    </row>
    <row r="70" spans="1:16" x14ac:dyDescent="0.25">
      <c r="A70" s="48" t="s">
        <v>70</v>
      </c>
      <c r="B70" s="31" t="s">
        <v>258</v>
      </c>
      <c r="C70" s="9" t="s">
        <v>256</v>
      </c>
      <c r="D70" s="5" t="s">
        <v>259</v>
      </c>
      <c r="F70" s="93" t="s">
        <v>358</v>
      </c>
      <c r="G70" s="4" t="s">
        <v>74</v>
      </c>
      <c r="H70" s="80"/>
      <c r="I70" s="73">
        <f t="shared" si="10"/>
        <v>0</v>
      </c>
      <c r="J70" s="73">
        <f t="shared" si="10"/>
        <v>0</v>
      </c>
      <c r="K70" s="73">
        <f t="shared" si="10"/>
        <v>0</v>
      </c>
      <c r="L70" s="73">
        <f t="shared" si="10"/>
        <v>0</v>
      </c>
      <c r="M70" s="78">
        <f t="shared" si="12"/>
        <v>0</v>
      </c>
      <c r="P70" s="66"/>
    </row>
    <row r="71" spans="1:16" s="33" customFormat="1" x14ac:dyDescent="0.25">
      <c r="A71" s="49" t="s">
        <v>70</v>
      </c>
      <c r="B71" s="52" t="s">
        <v>260</v>
      </c>
      <c r="C71" s="24" t="s">
        <v>256</v>
      </c>
      <c r="D71" s="24" t="s">
        <v>261</v>
      </c>
      <c r="E71" s="67"/>
      <c r="F71" s="94" t="s">
        <v>358</v>
      </c>
      <c r="G71" s="33" t="s">
        <v>74</v>
      </c>
      <c r="H71" s="81"/>
      <c r="I71" s="75">
        <f t="shared" si="10"/>
        <v>0</v>
      </c>
      <c r="J71" s="75">
        <f t="shared" si="10"/>
        <v>0</v>
      </c>
      <c r="K71" s="75">
        <f t="shared" si="10"/>
        <v>0</v>
      </c>
      <c r="L71" s="75">
        <f t="shared" si="10"/>
        <v>0</v>
      </c>
      <c r="M71" s="79">
        <f t="shared" si="12"/>
        <v>0</v>
      </c>
      <c r="P71" s="67"/>
    </row>
    <row r="72" spans="1:16" s="33" customFormat="1" x14ac:dyDescent="0.25">
      <c r="A72" s="49" t="s">
        <v>70</v>
      </c>
      <c r="B72" s="52" t="s">
        <v>367</v>
      </c>
      <c r="C72" s="85" t="s">
        <v>263</v>
      </c>
      <c r="D72" s="25" t="s">
        <v>264</v>
      </c>
      <c r="E72" s="67"/>
      <c r="F72" s="94"/>
      <c r="G72" s="33" t="s">
        <v>74</v>
      </c>
      <c r="H72" s="81"/>
      <c r="I72" s="75">
        <f t="shared" si="10"/>
        <v>0</v>
      </c>
      <c r="J72" s="75">
        <f t="shared" si="10"/>
        <v>0</v>
      </c>
      <c r="K72" s="75">
        <f t="shared" si="10"/>
        <v>0</v>
      </c>
      <c r="L72" s="75">
        <f t="shared" si="10"/>
        <v>0</v>
      </c>
      <c r="M72" s="79">
        <f t="shared" si="12"/>
        <v>0</v>
      </c>
      <c r="N72" s="33">
        <f t="shared" si="11"/>
        <v>0</v>
      </c>
      <c r="P72" s="67"/>
    </row>
    <row r="73" spans="1:16" s="40" customFormat="1" x14ac:dyDescent="0.25">
      <c r="A73" s="53" t="s">
        <v>70</v>
      </c>
      <c r="B73" s="38" t="s">
        <v>265</v>
      </c>
      <c r="C73" s="12" t="s">
        <v>174</v>
      </c>
      <c r="D73" s="12" t="s">
        <v>174</v>
      </c>
      <c r="E73" s="69"/>
      <c r="F73" s="94"/>
      <c r="G73" s="40" t="s">
        <v>74</v>
      </c>
      <c r="H73" s="83"/>
      <c r="I73" s="76">
        <f t="shared" si="10"/>
        <v>0</v>
      </c>
      <c r="J73" s="76">
        <f t="shared" si="10"/>
        <v>0</v>
      </c>
      <c r="K73" s="76">
        <f t="shared" si="10"/>
        <v>0</v>
      </c>
      <c r="L73" s="76">
        <f t="shared" si="10"/>
        <v>0</v>
      </c>
      <c r="M73" s="79">
        <f t="shared" si="12"/>
        <v>0</v>
      </c>
      <c r="N73" s="40">
        <f t="shared" si="11"/>
        <v>0</v>
      </c>
      <c r="P73" s="67"/>
    </row>
    <row r="74" spans="1:16" ht="75" x14ac:dyDescent="0.25">
      <c r="A74" s="48" t="s">
        <v>70</v>
      </c>
      <c r="B74" s="31" t="s">
        <v>266</v>
      </c>
      <c r="C74" s="22" t="s">
        <v>176</v>
      </c>
      <c r="D74" s="22" t="s">
        <v>267</v>
      </c>
      <c r="E74" s="72"/>
      <c r="F74" s="100" t="s">
        <v>372</v>
      </c>
      <c r="G74" s="4" t="s">
        <v>74</v>
      </c>
      <c r="H74" s="80"/>
      <c r="I74" s="4">
        <f t="shared" si="10"/>
        <v>0</v>
      </c>
      <c r="J74" s="4">
        <f t="shared" si="10"/>
        <v>0</v>
      </c>
      <c r="K74" s="4">
        <f t="shared" si="10"/>
        <v>0</v>
      </c>
      <c r="L74" s="4">
        <f t="shared" si="10"/>
        <v>0</v>
      </c>
      <c r="M74" s="78">
        <f t="shared" si="12"/>
        <v>0</v>
      </c>
      <c r="N74" s="4">
        <f t="shared" si="11"/>
        <v>0</v>
      </c>
      <c r="P74" s="66"/>
    </row>
    <row r="75" spans="1:16" x14ac:dyDescent="0.25">
      <c r="B75" s="31"/>
    </row>
  </sheetData>
  <autoFilter ref="B2:O2" xr:uid="{B02B0A38-8D86-4EC5-97E5-74611AC52359}"/>
  <mergeCells count="1">
    <mergeCell ref="I1:M1"/>
  </mergeCells>
  <conditionalFormatting sqref="E3:E56 E58:E74">
    <cfRule type="cellIs" dxfId="15" priority="12" operator="equal">
      <formula>"ne"</formula>
    </cfRule>
  </conditionalFormatting>
  <conditionalFormatting sqref="I4:L56 I58:L74">
    <cfRule type="cellIs" dxfId="14" priority="8" operator="between">
      <formula>0.0001</formula>
      <formula>1000</formula>
    </cfRule>
    <cfRule type="cellIs" dxfId="13" priority="9" operator="equal">
      <formula>"-"</formula>
    </cfRule>
  </conditionalFormatting>
  <conditionalFormatting sqref="M4:M74">
    <cfRule type="cellIs" dxfId="12" priority="10" operator="equal">
      <formula>0</formula>
    </cfRule>
  </conditionalFormatting>
  <conditionalFormatting sqref="P3:P31 P34:P74">
    <cfRule type="expression" dxfId="11" priority="3">
      <formula>AND($E3="ano",ISBLANK(P3))</formula>
    </cfRule>
  </conditionalFormatting>
  <conditionalFormatting sqref="P3:P32 P34:P74">
    <cfRule type="cellIs" dxfId="10" priority="1" operator="equal">
      <formula>"Revize"</formula>
    </cfRule>
    <cfRule type="cellIs" dxfId="9" priority="2" operator="equal">
      <formula>"Final"</formula>
    </cfRule>
  </conditionalFormatting>
  <conditionalFormatting sqref="P32">
    <cfRule type="expression" dxfId="8" priority="56">
      <formula>AND($E33="ano",ISBLANK(P32))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E8CC-DDB6-4F42-9E26-C280BBB7848B}">
  <dimension ref="A1:Q78"/>
  <sheetViews>
    <sheetView zoomScale="80" zoomScaleNormal="80" workbookViewId="0">
      <pane ySplit="2" topLeftCell="A3" activePane="bottomLeft" state="frozen"/>
      <selection pane="bottomLeft" activeCell="D11" sqref="D11"/>
    </sheetView>
  </sheetViews>
  <sheetFormatPr defaultColWidth="9.140625" defaultRowHeight="15" x14ac:dyDescent="0.25"/>
  <cols>
    <col min="1" max="1" width="11.140625" style="4" customWidth="1"/>
    <col min="2" max="2" width="11" style="8" bestFit="1" customWidth="1"/>
    <col min="3" max="3" width="45.7109375" style="4" customWidth="1"/>
    <col min="4" max="4" width="38" style="4" customWidth="1"/>
    <col min="5" max="5" width="10.28515625" style="66" customWidth="1"/>
    <col min="6" max="6" width="46.7109375" style="4" bestFit="1" customWidth="1"/>
    <col min="7" max="7" width="9.140625" style="4"/>
    <col min="8" max="8" width="12.140625" style="4" hidden="1" customWidth="1"/>
    <col min="9" max="13" width="8.5703125" style="4" customWidth="1"/>
    <col min="14" max="14" width="11.42578125" style="4" hidden="1" customWidth="1"/>
    <col min="15" max="15" width="25.7109375" style="4" customWidth="1"/>
    <col min="16" max="16" width="12" style="4" customWidth="1"/>
    <col min="17" max="17" width="17.7109375" style="4" customWidth="1"/>
    <col min="18" max="16384" width="9.140625" style="4"/>
  </cols>
  <sheetData>
    <row r="1" spans="1:17" ht="30" x14ac:dyDescent="0.25">
      <c r="A1" s="17" t="s">
        <v>324</v>
      </c>
      <c r="B1" s="17" t="s">
        <v>43</v>
      </c>
      <c r="C1" s="16" t="s">
        <v>44</v>
      </c>
      <c r="D1" s="16" t="s">
        <v>45</v>
      </c>
      <c r="E1" s="29" t="s">
        <v>278</v>
      </c>
      <c r="F1" s="16" t="s">
        <v>47</v>
      </c>
      <c r="G1" s="17" t="s">
        <v>48</v>
      </c>
      <c r="H1" s="17" t="s">
        <v>50</v>
      </c>
      <c r="I1" s="368" t="s">
        <v>93</v>
      </c>
      <c r="J1" s="368"/>
      <c r="K1" s="368"/>
      <c r="L1" s="368"/>
      <c r="M1" s="368"/>
      <c r="N1" s="17" t="s">
        <v>326</v>
      </c>
      <c r="O1" s="16" t="s">
        <v>370</v>
      </c>
      <c r="P1" s="29" t="s">
        <v>323</v>
      </c>
      <c r="Q1" s="105" t="s">
        <v>371</v>
      </c>
    </row>
    <row r="2" spans="1:17" s="18" customFormat="1" ht="36.75" thickBot="1" x14ac:dyDescent="0.3">
      <c r="A2" s="26" t="s">
        <v>55</v>
      </c>
      <c r="B2" s="27"/>
      <c r="E2" s="26" t="s">
        <v>286</v>
      </c>
      <c r="F2" s="19"/>
      <c r="G2" s="26" t="s">
        <v>329</v>
      </c>
      <c r="H2" s="18" t="s">
        <v>57</v>
      </c>
      <c r="I2" s="18" t="s">
        <v>94</v>
      </c>
      <c r="J2" s="18" t="s">
        <v>95</v>
      </c>
      <c r="K2" s="18" t="s">
        <v>96</v>
      </c>
      <c r="L2" s="18" t="s">
        <v>97</v>
      </c>
      <c r="M2" s="77" t="s">
        <v>330</v>
      </c>
      <c r="N2" s="18" t="s">
        <v>57</v>
      </c>
      <c r="P2" s="26" t="s">
        <v>328</v>
      </c>
    </row>
    <row r="3" spans="1:17" s="66" customFormat="1" ht="30" x14ac:dyDescent="0.25">
      <c r="A3" s="63" t="s">
        <v>99</v>
      </c>
      <c r="B3" s="8" t="s">
        <v>100</v>
      </c>
      <c r="C3" s="64" t="s">
        <v>101</v>
      </c>
      <c r="D3" s="5" t="s">
        <v>331</v>
      </c>
      <c r="F3" s="92"/>
      <c r="G3" s="88" t="s">
        <v>103</v>
      </c>
      <c r="M3" s="29"/>
    </row>
    <row r="4" spans="1:17" x14ac:dyDescent="0.25">
      <c r="A4" s="32" t="s">
        <v>99</v>
      </c>
      <c r="B4" s="31" t="s">
        <v>104</v>
      </c>
      <c r="C4" s="9" t="s">
        <v>101</v>
      </c>
      <c r="D4" s="5" t="s">
        <v>105</v>
      </c>
      <c r="F4" s="93" t="s">
        <v>332</v>
      </c>
      <c r="G4" s="4" t="s">
        <v>103</v>
      </c>
      <c r="H4" s="80"/>
      <c r="I4" s="73">
        <f>IF($E4="ne","-",)</f>
        <v>0</v>
      </c>
      <c r="J4" s="73">
        <f>IF($E4="ne","-",)</f>
        <v>0</v>
      </c>
      <c r="K4" s="73">
        <f>IF($E4="ne","-",)</f>
        <v>0</v>
      </c>
      <c r="L4" s="73">
        <f>IF($E4="ne","-",)</f>
        <v>0</v>
      </c>
      <c r="M4" s="78">
        <f t="shared" ref="M4:M70" si="0">IF($E4="ne","-",I4+J4+K4+L4)</f>
        <v>0</v>
      </c>
      <c r="N4" s="4">
        <f t="shared" ref="N4:N29" si="1">M4*H4</f>
        <v>0</v>
      </c>
      <c r="P4" s="66"/>
    </row>
    <row r="5" spans="1:17" x14ac:dyDescent="0.25">
      <c r="A5" s="32" t="s">
        <v>99</v>
      </c>
      <c r="B5" s="31" t="s">
        <v>106</v>
      </c>
      <c r="C5" s="4" t="s">
        <v>101</v>
      </c>
      <c r="D5" s="5" t="s">
        <v>373</v>
      </c>
      <c r="F5" s="93" t="s">
        <v>334</v>
      </c>
      <c r="G5" s="4" t="s">
        <v>103</v>
      </c>
      <c r="H5" s="80"/>
      <c r="I5" s="73">
        <v>0</v>
      </c>
      <c r="J5" s="73">
        <f>IF($E5="ne","-",)</f>
        <v>0</v>
      </c>
      <c r="K5" s="73">
        <f>IF($E5="ne","-",)</f>
        <v>0</v>
      </c>
      <c r="L5" s="73">
        <f>IF($E5="ne","-",)</f>
        <v>0</v>
      </c>
      <c r="M5" s="78">
        <f>IF($E5="ne","-",I5+J5+K5+L5)</f>
        <v>0</v>
      </c>
      <c r="N5" s="4">
        <f t="shared" ref="N5" si="2">M5*H5</f>
        <v>0</v>
      </c>
      <c r="P5" s="66"/>
    </row>
    <row r="6" spans="1:17" ht="30" x14ac:dyDescent="0.25">
      <c r="A6" s="32" t="s">
        <v>99</v>
      </c>
      <c r="B6" s="31" t="s">
        <v>106</v>
      </c>
      <c r="C6" s="4" t="s">
        <v>101</v>
      </c>
      <c r="D6" s="5" t="s">
        <v>109</v>
      </c>
      <c r="F6" s="93" t="s">
        <v>334</v>
      </c>
      <c r="G6" s="4" t="s">
        <v>103</v>
      </c>
      <c r="H6" s="80"/>
      <c r="I6" s="73">
        <v>0</v>
      </c>
      <c r="J6" s="73">
        <f t="shared" ref="J6:L23" si="3">IF($E6="ne","-",)</f>
        <v>0</v>
      </c>
      <c r="K6" s="73">
        <f t="shared" si="3"/>
        <v>0</v>
      </c>
      <c r="L6" s="73">
        <f t="shared" si="3"/>
        <v>0</v>
      </c>
      <c r="M6" s="78">
        <f t="shared" si="0"/>
        <v>0</v>
      </c>
      <c r="N6" s="4">
        <f t="shared" si="1"/>
        <v>0</v>
      </c>
      <c r="P6" s="66"/>
    </row>
    <row r="7" spans="1:17" x14ac:dyDescent="0.25">
      <c r="A7" s="32" t="s">
        <v>99</v>
      </c>
      <c r="B7" s="31" t="s">
        <v>106</v>
      </c>
      <c r="C7" s="4" t="s">
        <v>101</v>
      </c>
      <c r="D7" s="5" t="s">
        <v>110</v>
      </c>
      <c r="F7" s="93" t="s">
        <v>334</v>
      </c>
      <c r="G7" s="4" t="s">
        <v>103</v>
      </c>
      <c r="H7" s="80"/>
      <c r="I7" s="73">
        <v>0</v>
      </c>
      <c r="J7" s="73">
        <f t="shared" si="3"/>
        <v>0</v>
      </c>
      <c r="K7" s="73">
        <f t="shared" si="3"/>
        <v>0</v>
      </c>
      <c r="L7" s="73">
        <f t="shared" si="3"/>
        <v>0</v>
      </c>
      <c r="M7" s="78">
        <f t="shared" si="0"/>
        <v>0</v>
      </c>
      <c r="N7" s="4">
        <f t="shared" si="1"/>
        <v>0</v>
      </c>
      <c r="P7" s="66"/>
    </row>
    <row r="8" spans="1:17" ht="30" x14ac:dyDescent="0.25">
      <c r="A8" s="32" t="s">
        <v>99</v>
      </c>
      <c r="B8" s="31" t="s">
        <v>106</v>
      </c>
      <c r="C8" s="4" t="s">
        <v>101</v>
      </c>
      <c r="D8" s="5" t="s">
        <v>112</v>
      </c>
      <c r="F8" s="93" t="s">
        <v>334</v>
      </c>
      <c r="G8" s="4" t="s">
        <v>103</v>
      </c>
      <c r="H8" s="80"/>
      <c r="I8" s="73">
        <v>0</v>
      </c>
      <c r="J8" s="73">
        <f t="shared" si="3"/>
        <v>0</v>
      </c>
      <c r="K8" s="73">
        <f t="shared" si="3"/>
        <v>0</v>
      </c>
      <c r="L8" s="73">
        <f t="shared" si="3"/>
        <v>0</v>
      </c>
      <c r="M8" s="78">
        <f t="shared" ref="M8" si="4">IF($E8="ne","-",I8+J8+K8+L8)</f>
        <v>0</v>
      </c>
      <c r="N8" s="4">
        <f t="shared" ref="N8" si="5">M8*H8</f>
        <v>0</v>
      </c>
      <c r="P8" s="66"/>
    </row>
    <row r="9" spans="1:17" x14ac:dyDescent="0.25">
      <c r="A9" s="32" t="s">
        <v>99</v>
      </c>
      <c r="B9" s="31" t="s">
        <v>114</v>
      </c>
      <c r="C9" s="4" t="s">
        <v>101</v>
      </c>
      <c r="D9" s="5" t="s">
        <v>115</v>
      </c>
      <c r="F9" s="93"/>
      <c r="G9" s="4" t="s">
        <v>103</v>
      </c>
      <c r="H9" s="80"/>
      <c r="I9" s="73">
        <f t="shared" ref="I9:L40" si="6">IF($E9="ne","-",)</f>
        <v>0</v>
      </c>
      <c r="J9" s="73">
        <f t="shared" si="3"/>
        <v>0</v>
      </c>
      <c r="K9" s="73">
        <f t="shared" si="3"/>
        <v>0</v>
      </c>
      <c r="L9" s="73">
        <f t="shared" si="3"/>
        <v>0</v>
      </c>
      <c r="M9" s="78">
        <f t="shared" si="0"/>
        <v>0</v>
      </c>
      <c r="N9" s="4">
        <f t="shared" si="1"/>
        <v>0</v>
      </c>
      <c r="P9" s="66"/>
    </row>
    <row r="10" spans="1:17" x14ac:dyDescent="0.25">
      <c r="A10" s="32" t="s">
        <v>99</v>
      </c>
      <c r="B10" s="31" t="s">
        <v>116</v>
      </c>
      <c r="C10" s="4" t="s">
        <v>101</v>
      </c>
      <c r="D10" s="5" t="s">
        <v>117</v>
      </c>
      <c r="F10" s="93"/>
      <c r="G10" s="4" t="s">
        <v>103</v>
      </c>
      <c r="H10" s="80"/>
      <c r="I10" s="73">
        <f t="shared" si="6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8">
        <f t="shared" si="0"/>
        <v>0</v>
      </c>
      <c r="N10" s="4">
        <f t="shared" si="1"/>
        <v>0</v>
      </c>
      <c r="P10" s="66"/>
    </row>
    <row r="11" spans="1:17" x14ac:dyDescent="0.25">
      <c r="A11" s="32" t="s">
        <v>99</v>
      </c>
      <c r="B11" s="31" t="s">
        <v>118</v>
      </c>
      <c r="C11" s="4" t="s">
        <v>101</v>
      </c>
      <c r="D11" s="5" t="s">
        <v>119</v>
      </c>
      <c r="F11" s="93"/>
      <c r="G11" s="4" t="s">
        <v>103</v>
      </c>
      <c r="H11" s="80"/>
      <c r="I11" s="73">
        <f t="shared" si="6"/>
        <v>0</v>
      </c>
      <c r="J11" s="73">
        <f t="shared" si="3"/>
        <v>0</v>
      </c>
      <c r="K11" s="73">
        <f t="shared" si="3"/>
        <v>0</v>
      </c>
      <c r="L11" s="73">
        <f t="shared" si="3"/>
        <v>0</v>
      </c>
      <c r="M11" s="78">
        <f t="shared" si="0"/>
        <v>0</v>
      </c>
      <c r="N11" s="4">
        <f t="shared" si="1"/>
        <v>0</v>
      </c>
      <c r="P11" s="66"/>
    </row>
    <row r="12" spans="1:17" x14ac:dyDescent="0.25">
      <c r="A12" s="32" t="s">
        <v>99</v>
      </c>
      <c r="B12" s="31" t="s">
        <v>120</v>
      </c>
      <c r="C12" s="4" t="s">
        <v>101</v>
      </c>
      <c r="D12" s="5" t="s">
        <v>121</v>
      </c>
      <c r="F12" s="93"/>
      <c r="G12" s="4" t="s">
        <v>74</v>
      </c>
      <c r="H12" s="80"/>
      <c r="I12" s="73">
        <f t="shared" si="6"/>
        <v>0</v>
      </c>
      <c r="J12" s="73">
        <f t="shared" si="3"/>
        <v>0</v>
      </c>
      <c r="K12" s="73">
        <f t="shared" si="3"/>
        <v>0</v>
      </c>
      <c r="L12" s="73">
        <f t="shared" si="3"/>
        <v>0</v>
      </c>
      <c r="M12" s="78">
        <f t="shared" si="0"/>
        <v>0</v>
      </c>
      <c r="N12" s="4">
        <f t="shared" si="1"/>
        <v>0</v>
      </c>
      <c r="P12" s="66"/>
    </row>
    <row r="13" spans="1:17" x14ac:dyDescent="0.25">
      <c r="A13" s="32" t="s">
        <v>99</v>
      </c>
      <c r="B13" s="31" t="s">
        <v>122</v>
      </c>
      <c r="C13" s="4" t="s">
        <v>101</v>
      </c>
      <c r="D13" s="5" t="s">
        <v>123</v>
      </c>
      <c r="F13" s="93"/>
      <c r="G13" s="4" t="s">
        <v>74</v>
      </c>
      <c r="H13" s="80"/>
      <c r="I13" s="73">
        <f t="shared" si="6"/>
        <v>0</v>
      </c>
      <c r="J13" s="73">
        <f t="shared" si="3"/>
        <v>0</v>
      </c>
      <c r="K13" s="73">
        <f t="shared" si="3"/>
        <v>0</v>
      </c>
      <c r="L13" s="73">
        <f t="shared" si="3"/>
        <v>0</v>
      </c>
      <c r="M13" s="78">
        <f t="shared" si="0"/>
        <v>0</v>
      </c>
      <c r="N13" s="4">
        <f t="shared" si="1"/>
        <v>0</v>
      </c>
      <c r="P13" s="66"/>
    </row>
    <row r="14" spans="1:17" x14ac:dyDescent="0.25">
      <c r="A14" s="32" t="s">
        <v>99</v>
      </c>
      <c r="B14" s="31" t="s">
        <v>124</v>
      </c>
      <c r="C14" s="4" t="s">
        <v>101</v>
      </c>
      <c r="D14" s="5" t="s">
        <v>125</v>
      </c>
      <c r="F14" s="93"/>
      <c r="G14" s="4" t="s">
        <v>103</v>
      </c>
      <c r="H14" s="80"/>
      <c r="I14" s="73">
        <f t="shared" si="6"/>
        <v>0</v>
      </c>
      <c r="J14" s="73">
        <f t="shared" si="3"/>
        <v>0</v>
      </c>
      <c r="K14" s="73">
        <f t="shared" si="3"/>
        <v>0</v>
      </c>
      <c r="L14" s="73">
        <f t="shared" si="3"/>
        <v>0</v>
      </c>
      <c r="M14" s="78">
        <f t="shared" si="0"/>
        <v>0</v>
      </c>
      <c r="N14" s="4">
        <f t="shared" si="1"/>
        <v>0</v>
      </c>
      <c r="P14" s="66"/>
    </row>
    <row r="15" spans="1:17" x14ac:dyDescent="0.25">
      <c r="A15" s="32" t="s">
        <v>99</v>
      </c>
      <c r="B15" s="31" t="s">
        <v>126</v>
      </c>
      <c r="C15" s="4" t="s">
        <v>101</v>
      </c>
      <c r="D15" s="5" t="s">
        <v>127</v>
      </c>
      <c r="F15" s="93"/>
      <c r="G15" s="4" t="s">
        <v>103</v>
      </c>
      <c r="H15" s="80"/>
      <c r="I15" s="73">
        <f t="shared" si="6"/>
        <v>0</v>
      </c>
      <c r="J15" s="73">
        <f t="shared" si="3"/>
        <v>0</v>
      </c>
      <c r="K15" s="73">
        <f t="shared" si="3"/>
        <v>0</v>
      </c>
      <c r="L15" s="73">
        <f t="shared" si="3"/>
        <v>0</v>
      </c>
      <c r="M15" s="78">
        <f t="shared" si="0"/>
        <v>0</v>
      </c>
      <c r="N15" s="4">
        <f t="shared" si="1"/>
        <v>0</v>
      </c>
      <c r="P15" s="66"/>
    </row>
    <row r="16" spans="1:17" s="33" customFormat="1" x14ac:dyDescent="0.25">
      <c r="A16" s="35" t="s">
        <v>99</v>
      </c>
      <c r="B16" s="34" t="s">
        <v>128</v>
      </c>
      <c r="C16" s="33" t="s">
        <v>101</v>
      </c>
      <c r="D16" s="6" t="s">
        <v>129</v>
      </c>
      <c r="E16" s="67"/>
      <c r="F16" s="94"/>
      <c r="G16" s="33" t="s">
        <v>103</v>
      </c>
      <c r="H16" s="81"/>
      <c r="I16" s="75">
        <f t="shared" si="6"/>
        <v>0</v>
      </c>
      <c r="J16" s="75">
        <f t="shared" si="3"/>
        <v>0</v>
      </c>
      <c r="K16" s="75">
        <f t="shared" si="3"/>
        <v>0</v>
      </c>
      <c r="L16" s="75">
        <f t="shared" si="3"/>
        <v>0</v>
      </c>
      <c r="M16" s="79">
        <f t="shared" si="0"/>
        <v>0</v>
      </c>
      <c r="N16" s="33">
        <f t="shared" si="1"/>
        <v>0</v>
      </c>
      <c r="P16" s="67"/>
    </row>
    <row r="17" spans="1:16" s="36" customFormat="1" x14ac:dyDescent="0.25">
      <c r="A17" s="37" t="s">
        <v>99</v>
      </c>
      <c r="B17" s="41" t="s">
        <v>130</v>
      </c>
      <c r="C17" s="10" t="s">
        <v>131</v>
      </c>
      <c r="D17" s="7" t="s">
        <v>132</v>
      </c>
      <c r="E17" s="68"/>
      <c r="F17" s="95"/>
      <c r="G17" s="36" t="s">
        <v>63</v>
      </c>
      <c r="H17" s="82"/>
      <c r="I17" s="73">
        <f t="shared" si="6"/>
        <v>0</v>
      </c>
      <c r="J17" s="73">
        <f t="shared" si="3"/>
        <v>0</v>
      </c>
      <c r="K17" s="73">
        <f t="shared" si="3"/>
        <v>0</v>
      </c>
      <c r="L17" s="73">
        <f t="shared" si="3"/>
        <v>0</v>
      </c>
      <c r="M17" s="78">
        <f t="shared" si="0"/>
        <v>0</v>
      </c>
      <c r="N17" s="36">
        <f t="shared" si="1"/>
        <v>0</v>
      </c>
      <c r="P17" s="66"/>
    </row>
    <row r="18" spans="1:16" s="33" customFormat="1" x14ac:dyDescent="0.25">
      <c r="A18" s="35" t="s">
        <v>99</v>
      </c>
      <c r="B18" s="34" t="s">
        <v>133</v>
      </c>
      <c r="C18" s="3" t="s">
        <v>131</v>
      </c>
      <c r="D18" s="11" t="s">
        <v>134</v>
      </c>
      <c r="E18" s="67"/>
      <c r="F18" s="94"/>
      <c r="G18" s="33" t="s">
        <v>63</v>
      </c>
      <c r="H18" s="81"/>
      <c r="I18" s="75">
        <f t="shared" si="6"/>
        <v>0</v>
      </c>
      <c r="J18" s="75">
        <f t="shared" si="3"/>
        <v>0</v>
      </c>
      <c r="K18" s="75">
        <f t="shared" si="3"/>
        <v>0</v>
      </c>
      <c r="L18" s="75">
        <f t="shared" si="3"/>
        <v>0</v>
      </c>
      <c r="M18" s="79">
        <f t="shared" si="0"/>
        <v>0</v>
      </c>
      <c r="N18" s="33">
        <f t="shared" si="1"/>
        <v>0</v>
      </c>
      <c r="P18" s="67"/>
    </row>
    <row r="19" spans="1:16" s="36" customFormat="1" x14ac:dyDescent="0.25">
      <c r="A19" s="37" t="s">
        <v>99</v>
      </c>
      <c r="B19" s="41" t="s">
        <v>135</v>
      </c>
      <c r="C19" s="10" t="s">
        <v>136</v>
      </c>
      <c r="D19" s="7" t="s">
        <v>137</v>
      </c>
      <c r="E19" s="68"/>
      <c r="F19" s="95" t="s">
        <v>335</v>
      </c>
      <c r="G19" s="36" t="s">
        <v>63</v>
      </c>
      <c r="H19" s="82"/>
      <c r="I19" s="73">
        <f t="shared" si="6"/>
        <v>0</v>
      </c>
      <c r="J19" s="73">
        <f t="shared" si="3"/>
        <v>0</v>
      </c>
      <c r="K19" s="73">
        <v>0</v>
      </c>
      <c r="L19" s="73">
        <v>0</v>
      </c>
      <c r="M19" s="78">
        <f t="shared" si="0"/>
        <v>0</v>
      </c>
      <c r="N19" s="36">
        <f t="shared" si="1"/>
        <v>0</v>
      </c>
      <c r="P19" s="66"/>
    </row>
    <row r="20" spans="1:16" x14ac:dyDescent="0.25">
      <c r="A20" s="32" t="s">
        <v>99</v>
      </c>
      <c r="B20" s="31" t="s">
        <v>135</v>
      </c>
      <c r="C20" s="9" t="s">
        <v>136</v>
      </c>
      <c r="D20" s="8" t="s">
        <v>139</v>
      </c>
      <c r="F20" s="93"/>
      <c r="G20" s="4" t="s">
        <v>63</v>
      </c>
      <c r="H20" s="80"/>
      <c r="I20" s="73">
        <f t="shared" si="6"/>
        <v>0</v>
      </c>
      <c r="J20" s="73">
        <f t="shared" si="3"/>
        <v>0</v>
      </c>
      <c r="K20" s="73">
        <f t="shared" si="3"/>
        <v>0</v>
      </c>
      <c r="L20" s="73">
        <f t="shared" si="3"/>
        <v>0</v>
      </c>
      <c r="M20" s="78">
        <f t="shared" si="0"/>
        <v>0</v>
      </c>
      <c r="N20" s="4">
        <f t="shared" si="1"/>
        <v>0</v>
      </c>
      <c r="P20" s="66"/>
    </row>
    <row r="21" spans="1:16" s="33" customFormat="1" x14ac:dyDescent="0.25">
      <c r="A21" s="35" t="s">
        <v>99</v>
      </c>
      <c r="B21" s="34" t="s">
        <v>140</v>
      </c>
      <c r="C21" s="3" t="s">
        <v>136</v>
      </c>
      <c r="D21" s="33" t="s">
        <v>141</v>
      </c>
      <c r="E21" s="67"/>
      <c r="F21" s="94"/>
      <c r="G21" s="33" t="s">
        <v>63</v>
      </c>
      <c r="H21" s="81"/>
      <c r="I21" s="75">
        <f t="shared" si="6"/>
        <v>0</v>
      </c>
      <c r="J21" s="73">
        <f t="shared" si="3"/>
        <v>0</v>
      </c>
      <c r="K21" s="73">
        <f t="shared" si="3"/>
        <v>0</v>
      </c>
      <c r="L21" s="73">
        <f t="shared" si="3"/>
        <v>0</v>
      </c>
      <c r="M21" s="79">
        <f t="shared" si="0"/>
        <v>0</v>
      </c>
      <c r="N21" s="33">
        <f t="shared" si="1"/>
        <v>0</v>
      </c>
      <c r="P21" s="67"/>
    </row>
    <row r="22" spans="1:16" s="40" customFormat="1" x14ac:dyDescent="0.25">
      <c r="A22" s="39" t="s">
        <v>99</v>
      </c>
      <c r="B22" s="38" t="s">
        <v>142</v>
      </c>
      <c r="C22" s="12" t="s">
        <v>143</v>
      </c>
      <c r="D22" s="12" t="s">
        <v>143</v>
      </c>
      <c r="E22" s="69"/>
      <c r="F22" s="96"/>
      <c r="G22" s="40" t="s">
        <v>74</v>
      </c>
      <c r="H22" s="83"/>
      <c r="I22" s="76">
        <f t="shared" si="6"/>
        <v>0</v>
      </c>
      <c r="J22" s="76">
        <f t="shared" si="3"/>
        <v>0</v>
      </c>
      <c r="K22" s="76">
        <f t="shared" si="3"/>
        <v>0</v>
      </c>
      <c r="L22" s="76">
        <f t="shared" si="3"/>
        <v>0</v>
      </c>
      <c r="M22" s="79">
        <f t="shared" si="0"/>
        <v>0</v>
      </c>
      <c r="N22" s="40">
        <f t="shared" si="1"/>
        <v>0</v>
      </c>
      <c r="P22" s="67"/>
    </row>
    <row r="23" spans="1:16" s="40" customFormat="1" x14ac:dyDescent="0.25">
      <c r="A23" s="39" t="s">
        <v>99</v>
      </c>
      <c r="B23" s="38" t="s">
        <v>146</v>
      </c>
      <c r="C23" s="12" t="s">
        <v>147</v>
      </c>
      <c r="D23" s="12" t="s">
        <v>147</v>
      </c>
      <c r="E23" s="69"/>
      <c r="F23" s="96" t="s">
        <v>336</v>
      </c>
      <c r="G23" s="40" t="s">
        <v>74</v>
      </c>
      <c r="H23" s="83"/>
      <c r="I23" s="76">
        <f t="shared" si="6"/>
        <v>0</v>
      </c>
      <c r="J23" s="76">
        <f t="shared" si="3"/>
        <v>0</v>
      </c>
      <c r="K23" s="76">
        <f t="shared" si="3"/>
        <v>0</v>
      </c>
      <c r="L23" s="76">
        <f t="shared" si="3"/>
        <v>0</v>
      </c>
      <c r="M23" s="79">
        <f t="shared" si="0"/>
        <v>0</v>
      </c>
      <c r="N23" s="40">
        <f t="shared" si="1"/>
        <v>0</v>
      </c>
      <c r="P23" s="67"/>
    </row>
    <row r="24" spans="1:16" x14ac:dyDescent="0.25">
      <c r="A24" s="43" t="s">
        <v>58</v>
      </c>
      <c r="B24" s="31" t="s">
        <v>59</v>
      </c>
      <c r="C24" s="9" t="s">
        <v>150</v>
      </c>
      <c r="D24" s="5" t="s">
        <v>61</v>
      </c>
      <c r="F24" s="93"/>
      <c r="G24" s="4" t="s">
        <v>63</v>
      </c>
      <c r="H24" s="80"/>
      <c r="I24" s="73">
        <f t="shared" si="6"/>
        <v>0</v>
      </c>
      <c r="J24" s="73">
        <f t="shared" si="6"/>
        <v>0</v>
      </c>
      <c r="K24" s="73">
        <f t="shared" si="6"/>
        <v>0</v>
      </c>
      <c r="L24" s="73">
        <f t="shared" si="6"/>
        <v>0</v>
      </c>
      <c r="M24" s="78">
        <f t="shared" si="0"/>
        <v>0</v>
      </c>
      <c r="N24" s="4">
        <f t="shared" si="1"/>
        <v>0</v>
      </c>
      <c r="P24" s="66"/>
    </row>
    <row r="25" spans="1:16" x14ac:dyDescent="0.25">
      <c r="A25" s="43" t="s">
        <v>58</v>
      </c>
      <c r="B25" s="31" t="s">
        <v>152</v>
      </c>
      <c r="C25" s="4" t="s">
        <v>150</v>
      </c>
      <c r="D25" s="5" t="s">
        <v>153</v>
      </c>
      <c r="F25" s="93"/>
      <c r="G25" s="4" t="s">
        <v>63</v>
      </c>
      <c r="H25" s="80"/>
      <c r="I25" s="73">
        <f t="shared" si="6"/>
        <v>0</v>
      </c>
      <c r="J25" s="73">
        <f t="shared" si="6"/>
        <v>0</v>
      </c>
      <c r="K25" s="73">
        <f t="shared" si="6"/>
        <v>0</v>
      </c>
      <c r="L25" s="73">
        <f t="shared" si="6"/>
        <v>0</v>
      </c>
      <c r="M25" s="78">
        <f t="shared" si="0"/>
        <v>0</v>
      </c>
      <c r="N25" s="4">
        <f t="shared" si="1"/>
        <v>0</v>
      </c>
      <c r="P25" s="66"/>
    </row>
    <row r="26" spans="1:16" x14ac:dyDescent="0.25">
      <c r="A26" s="43" t="s">
        <v>58</v>
      </c>
      <c r="B26" s="31" t="s">
        <v>155</v>
      </c>
      <c r="C26" s="4" t="s">
        <v>150</v>
      </c>
      <c r="D26" s="5" t="s">
        <v>156</v>
      </c>
      <c r="F26" s="93"/>
      <c r="G26" s="4" t="s">
        <v>63</v>
      </c>
      <c r="H26" s="80"/>
      <c r="I26" s="73">
        <f t="shared" si="6"/>
        <v>0</v>
      </c>
      <c r="J26" s="73">
        <f t="shared" si="6"/>
        <v>0</v>
      </c>
      <c r="K26" s="73">
        <f t="shared" si="6"/>
        <v>0</v>
      </c>
      <c r="L26" s="73">
        <f t="shared" si="6"/>
        <v>0</v>
      </c>
      <c r="M26" s="78">
        <f t="shared" si="0"/>
        <v>0</v>
      </c>
      <c r="N26" s="4">
        <f t="shared" si="1"/>
        <v>0</v>
      </c>
      <c r="P26" s="66"/>
    </row>
    <row r="27" spans="1:16" x14ac:dyDescent="0.25">
      <c r="A27" s="43" t="s">
        <v>58</v>
      </c>
      <c r="B27" s="31" t="s">
        <v>64</v>
      </c>
      <c r="C27" s="4" t="s">
        <v>150</v>
      </c>
      <c r="D27" s="5" t="s">
        <v>65</v>
      </c>
      <c r="F27" s="93"/>
      <c r="G27" s="4" t="s">
        <v>63</v>
      </c>
      <c r="H27" s="80"/>
      <c r="I27" s="73">
        <f t="shared" si="6"/>
        <v>0</v>
      </c>
      <c r="J27" s="73">
        <f t="shared" si="6"/>
        <v>0</v>
      </c>
      <c r="K27" s="73">
        <f t="shared" si="6"/>
        <v>0</v>
      </c>
      <c r="L27" s="73">
        <f t="shared" si="6"/>
        <v>0</v>
      </c>
      <c r="M27" s="78">
        <f t="shared" si="0"/>
        <v>0</v>
      </c>
      <c r="N27" s="4">
        <f t="shared" si="1"/>
        <v>0</v>
      </c>
      <c r="P27" s="66"/>
    </row>
    <row r="28" spans="1:16" x14ac:dyDescent="0.25">
      <c r="A28" s="43" t="s">
        <v>58</v>
      </c>
      <c r="B28" s="31" t="s">
        <v>67</v>
      </c>
      <c r="C28" s="4" t="s">
        <v>150</v>
      </c>
      <c r="D28" s="5" t="s">
        <v>68</v>
      </c>
      <c r="F28" s="93"/>
      <c r="G28" s="4" t="s">
        <v>63</v>
      </c>
      <c r="H28" s="80"/>
      <c r="I28" s="73">
        <f t="shared" si="6"/>
        <v>0</v>
      </c>
      <c r="J28" s="73">
        <f t="shared" si="6"/>
        <v>0</v>
      </c>
      <c r="K28" s="73">
        <f t="shared" si="6"/>
        <v>0</v>
      </c>
      <c r="L28" s="73">
        <f t="shared" si="6"/>
        <v>0</v>
      </c>
      <c r="M28" s="78">
        <f t="shared" si="0"/>
        <v>0</v>
      </c>
      <c r="N28" s="4">
        <f t="shared" si="1"/>
        <v>0</v>
      </c>
      <c r="P28" s="66"/>
    </row>
    <row r="29" spans="1:16" s="33" customFormat="1" x14ac:dyDescent="0.25">
      <c r="A29" s="44" t="s">
        <v>58</v>
      </c>
      <c r="B29" s="34" t="s">
        <v>157</v>
      </c>
      <c r="C29" s="33" t="s">
        <v>150</v>
      </c>
      <c r="D29" s="11" t="s">
        <v>158</v>
      </c>
      <c r="E29" s="66"/>
      <c r="F29" s="94"/>
      <c r="G29" s="33" t="s">
        <v>63</v>
      </c>
      <c r="H29" s="81"/>
      <c r="I29" s="73">
        <f t="shared" si="6"/>
        <v>0</v>
      </c>
      <c r="J29" s="73">
        <f t="shared" si="6"/>
        <v>0</v>
      </c>
      <c r="K29" s="73">
        <f t="shared" si="6"/>
        <v>0</v>
      </c>
      <c r="L29" s="73">
        <f t="shared" si="6"/>
        <v>0</v>
      </c>
      <c r="M29" s="79">
        <f t="shared" si="0"/>
        <v>0</v>
      </c>
      <c r="N29" s="33">
        <f t="shared" si="1"/>
        <v>0</v>
      </c>
      <c r="P29" s="67"/>
    </row>
    <row r="30" spans="1:16" s="40" customFormat="1" x14ac:dyDescent="0.25">
      <c r="A30" s="45" t="s">
        <v>58</v>
      </c>
      <c r="B30" s="38" t="s">
        <v>159</v>
      </c>
      <c r="C30" s="40" t="s">
        <v>160</v>
      </c>
      <c r="D30" s="65" t="s">
        <v>161</v>
      </c>
      <c r="E30" s="69"/>
      <c r="F30" s="96"/>
      <c r="G30" s="40" t="s">
        <v>74</v>
      </c>
      <c r="H30" s="83"/>
      <c r="I30" s="76">
        <f t="shared" si="6"/>
        <v>0</v>
      </c>
      <c r="J30" s="76">
        <f t="shared" si="6"/>
        <v>0</v>
      </c>
      <c r="K30" s="76">
        <f t="shared" si="6"/>
        <v>0</v>
      </c>
      <c r="L30" s="76">
        <f t="shared" si="6"/>
        <v>0</v>
      </c>
      <c r="M30" s="79">
        <f t="shared" si="0"/>
        <v>0</v>
      </c>
      <c r="P30" s="67"/>
    </row>
    <row r="31" spans="1:16" x14ac:dyDescent="0.25">
      <c r="A31" s="43" t="s">
        <v>58</v>
      </c>
      <c r="B31" s="31" t="s">
        <v>162</v>
      </c>
      <c r="C31" s="9" t="s">
        <v>163</v>
      </c>
      <c r="D31" s="5" t="s">
        <v>164</v>
      </c>
      <c r="F31" s="93"/>
      <c r="G31" s="4" t="s">
        <v>103</v>
      </c>
      <c r="H31" s="80"/>
      <c r="I31" s="73">
        <f t="shared" si="6"/>
        <v>0</v>
      </c>
      <c r="J31" s="73">
        <f t="shared" si="6"/>
        <v>0</v>
      </c>
      <c r="K31" s="73">
        <f t="shared" si="6"/>
        <v>0</v>
      </c>
      <c r="L31" s="73">
        <f t="shared" si="6"/>
        <v>0</v>
      </c>
      <c r="M31" s="78">
        <f t="shared" si="0"/>
        <v>0</v>
      </c>
      <c r="N31" s="4">
        <f t="shared" ref="N31:N48" si="7">M31*H31</f>
        <v>0</v>
      </c>
      <c r="P31" s="66"/>
    </row>
    <row r="32" spans="1:16" x14ac:dyDescent="0.25">
      <c r="A32" s="43" t="s">
        <v>58</v>
      </c>
      <c r="B32" s="31" t="s">
        <v>166</v>
      </c>
      <c r="C32" s="4" t="s">
        <v>163</v>
      </c>
      <c r="D32" s="5" t="s">
        <v>167</v>
      </c>
      <c r="F32" s="93"/>
      <c r="G32" s="4" t="s">
        <v>103</v>
      </c>
      <c r="H32" s="80"/>
      <c r="I32" s="73">
        <f t="shared" si="6"/>
        <v>0</v>
      </c>
      <c r="J32" s="73">
        <f t="shared" si="6"/>
        <v>0</v>
      </c>
      <c r="K32" s="73">
        <f t="shared" si="6"/>
        <v>0</v>
      </c>
      <c r="L32" s="73">
        <f t="shared" si="6"/>
        <v>0</v>
      </c>
      <c r="M32" s="78">
        <f t="shared" si="0"/>
        <v>0</v>
      </c>
      <c r="N32" s="4">
        <f t="shared" si="7"/>
        <v>0</v>
      </c>
      <c r="P32" s="66"/>
    </row>
    <row r="33" spans="1:16" x14ac:dyDescent="0.25">
      <c r="A33" s="43" t="s">
        <v>58</v>
      </c>
      <c r="B33" s="31" t="s">
        <v>169</v>
      </c>
      <c r="C33" s="4" t="s">
        <v>163</v>
      </c>
      <c r="D33" s="5" t="s">
        <v>170</v>
      </c>
      <c r="F33" s="93"/>
      <c r="G33" s="4" t="s">
        <v>103</v>
      </c>
      <c r="H33" s="80"/>
      <c r="I33" s="73">
        <f t="shared" si="6"/>
        <v>0</v>
      </c>
      <c r="J33" s="73">
        <f t="shared" si="6"/>
        <v>0</v>
      </c>
      <c r="K33" s="73">
        <f t="shared" si="6"/>
        <v>0</v>
      </c>
      <c r="L33" s="73">
        <f t="shared" si="6"/>
        <v>0</v>
      </c>
      <c r="M33" s="78">
        <f t="shared" si="0"/>
        <v>0</v>
      </c>
      <c r="N33" s="4">
        <f t="shared" si="7"/>
        <v>0</v>
      </c>
      <c r="P33" s="66"/>
    </row>
    <row r="34" spans="1:16" s="33" customFormat="1" x14ac:dyDescent="0.25">
      <c r="A34" s="44" t="s">
        <v>58</v>
      </c>
      <c r="B34" s="31" t="s">
        <v>171</v>
      </c>
      <c r="C34" s="33" t="s">
        <v>163</v>
      </c>
      <c r="D34" s="6" t="s">
        <v>172</v>
      </c>
      <c r="E34" s="67"/>
      <c r="F34" s="94"/>
      <c r="G34" s="33" t="s">
        <v>103</v>
      </c>
      <c r="H34" s="81"/>
      <c r="I34" s="75">
        <f t="shared" si="6"/>
        <v>0</v>
      </c>
      <c r="J34" s="75">
        <f t="shared" si="6"/>
        <v>0</v>
      </c>
      <c r="K34" s="75">
        <f t="shared" si="6"/>
        <v>0</v>
      </c>
      <c r="L34" s="75">
        <f t="shared" si="6"/>
        <v>0</v>
      </c>
      <c r="M34" s="79">
        <f t="shared" si="0"/>
        <v>0</v>
      </c>
      <c r="N34" s="33">
        <f t="shared" si="7"/>
        <v>0</v>
      </c>
      <c r="P34" s="67"/>
    </row>
    <row r="35" spans="1:16" s="33" customFormat="1" x14ac:dyDescent="0.25">
      <c r="A35" s="44" t="s">
        <v>58</v>
      </c>
      <c r="B35" s="38" t="s">
        <v>173</v>
      </c>
      <c r="C35" s="33" t="s">
        <v>174</v>
      </c>
      <c r="D35" s="33" t="s">
        <v>174</v>
      </c>
      <c r="E35" s="67"/>
      <c r="F35" s="94" t="s">
        <v>358</v>
      </c>
      <c r="G35" s="33" t="s">
        <v>74</v>
      </c>
      <c r="H35" s="81"/>
      <c r="I35" s="76">
        <f t="shared" si="6"/>
        <v>0</v>
      </c>
      <c r="J35" s="76">
        <f t="shared" si="6"/>
        <v>0</v>
      </c>
      <c r="K35" s="76">
        <f t="shared" si="6"/>
        <v>0</v>
      </c>
      <c r="L35" s="76">
        <f t="shared" si="6"/>
        <v>0</v>
      </c>
      <c r="M35" s="79">
        <f t="shared" si="0"/>
        <v>0</v>
      </c>
      <c r="P35" s="67"/>
    </row>
    <row r="36" spans="1:16" s="40" customFormat="1" ht="60" x14ac:dyDescent="0.25">
      <c r="A36" s="44" t="s">
        <v>58</v>
      </c>
      <c r="B36" s="38" t="s">
        <v>175</v>
      </c>
      <c r="C36" s="30" t="s">
        <v>176</v>
      </c>
      <c r="D36" s="30" t="s">
        <v>176</v>
      </c>
      <c r="E36" s="70"/>
      <c r="F36" s="97" t="s">
        <v>337</v>
      </c>
      <c r="G36" s="40" t="s">
        <v>74</v>
      </c>
      <c r="H36" s="83"/>
      <c r="I36" s="76">
        <f t="shared" si="6"/>
        <v>0</v>
      </c>
      <c r="J36" s="76">
        <f t="shared" si="6"/>
        <v>0</v>
      </c>
      <c r="K36" s="76">
        <f t="shared" si="6"/>
        <v>0</v>
      </c>
      <c r="L36" s="76">
        <f t="shared" si="6"/>
        <v>0</v>
      </c>
      <c r="M36" s="79">
        <f t="shared" si="0"/>
        <v>0</v>
      </c>
      <c r="N36" s="40">
        <f t="shared" si="7"/>
        <v>0</v>
      </c>
    </row>
    <row r="37" spans="1:16" ht="15" customHeight="1" x14ac:dyDescent="0.25">
      <c r="A37" s="48" t="s">
        <v>70</v>
      </c>
      <c r="B37" s="31" t="s">
        <v>177</v>
      </c>
      <c r="C37" s="9" t="s">
        <v>178</v>
      </c>
      <c r="D37" s="2" t="s">
        <v>179</v>
      </c>
      <c r="F37" s="93" t="s">
        <v>338</v>
      </c>
      <c r="G37" s="4" t="s">
        <v>63</v>
      </c>
      <c r="H37" s="80">
        <v>400</v>
      </c>
      <c r="I37" s="73">
        <f t="shared" si="6"/>
        <v>0</v>
      </c>
      <c r="J37" s="73">
        <f t="shared" si="6"/>
        <v>0</v>
      </c>
      <c r="K37" s="73">
        <f t="shared" si="6"/>
        <v>0</v>
      </c>
      <c r="L37" s="73">
        <f t="shared" si="6"/>
        <v>0</v>
      </c>
      <c r="M37" s="78">
        <f t="shared" si="0"/>
        <v>0</v>
      </c>
      <c r="N37" s="4">
        <f t="shared" si="7"/>
        <v>0</v>
      </c>
      <c r="P37" s="66"/>
    </row>
    <row r="38" spans="1:16" x14ac:dyDescent="0.25">
      <c r="A38" s="48" t="s">
        <v>70</v>
      </c>
      <c r="B38" s="31" t="s">
        <v>180</v>
      </c>
      <c r="C38" s="4" t="s">
        <v>178</v>
      </c>
      <c r="D38" s="2" t="s">
        <v>181</v>
      </c>
      <c r="F38" s="93" t="s">
        <v>339</v>
      </c>
      <c r="G38" s="4" t="s">
        <v>63</v>
      </c>
      <c r="H38" s="80">
        <v>150</v>
      </c>
      <c r="I38" s="73">
        <f t="shared" si="6"/>
        <v>0</v>
      </c>
      <c r="J38" s="73">
        <f t="shared" si="6"/>
        <v>0</v>
      </c>
      <c r="K38" s="73">
        <f t="shared" si="6"/>
        <v>0</v>
      </c>
      <c r="L38" s="73">
        <f t="shared" si="6"/>
        <v>0</v>
      </c>
      <c r="M38" s="78">
        <f t="shared" si="0"/>
        <v>0</v>
      </c>
      <c r="N38" s="4">
        <f t="shared" si="7"/>
        <v>0</v>
      </c>
      <c r="P38" s="66"/>
    </row>
    <row r="39" spans="1:16" x14ac:dyDescent="0.25">
      <c r="A39" s="48" t="s">
        <v>70</v>
      </c>
      <c r="B39" s="31" t="s">
        <v>182</v>
      </c>
      <c r="C39" s="4" t="s">
        <v>178</v>
      </c>
      <c r="D39" s="2" t="s">
        <v>183</v>
      </c>
      <c r="F39" s="93" t="s">
        <v>340</v>
      </c>
      <c r="G39" s="4" t="s">
        <v>63</v>
      </c>
      <c r="H39" s="80">
        <v>150</v>
      </c>
      <c r="I39" s="73">
        <f t="shared" si="6"/>
        <v>0</v>
      </c>
      <c r="J39" s="73">
        <f t="shared" si="6"/>
        <v>0</v>
      </c>
      <c r="K39" s="73">
        <f t="shared" si="6"/>
        <v>0</v>
      </c>
      <c r="L39" s="73">
        <f t="shared" si="6"/>
        <v>0</v>
      </c>
      <c r="M39" s="78">
        <f t="shared" si="0"/>
        <v>0</v>
      </c>
      <c r="N39" s="4">
        <f t="shared" si="7"/>
        <v>0</v>
      </c>
      <c r="P39" s="66"/>
    </row>
    <row r="40" spans="1:16" x14ac:dyDescent="0.25">
      <c r="A40" s="48" t="s">
        <v>70</v>
      </c>
      <c r="B40" s="31" t="s">
        <v>184</v>
      </c>
      <c r="C40" s="4" t="s">
        <v>178</v>
      </c>
      <c r="D40" s="2" t="s">
        <v>185</v>
      </c>
      <c r="F40" s="98" t="s">
        <v>341</v>
      </c>
      <c r="G40" s="4" t="s">
        <v>63</v>
      </c>
      <c r="H40" s="80">
        <v>100</v>
      </c>
      <c r="I40" s="73">
        <f t="shared" si="6"/>
        <v>0</v>
      </c>
      <c r="J40" s="73">
        <f t="shared" si="6"/>
        <v>0</v>
      </c>
      <c r="K40" s="73">
        <f t="shared" si="6"/>
        <v>0</v>
      </c>
      <c r="L40" s="73">
        <f t="shared" si="6"/>
        <v>0</v>
      </c>
      <c r="M40" s="78">
        <f t="shared" si="0"/>
        <v>0</v>
      </c>
      <c r="N40" s="4">
        <f t="shared" si="7"/>
        <v>0</v>
      </c>
      <c r="P40" s="66"/>
    </row>
    <row r="41" spans="1:16" x14ac:dyDescent="0.25">
      <c r="A41" s="48" t="s">
        <v>70</v>
      </c>
      <c r="B41" s="31" t="s">
        <v>186</v>
      </c>
      <c r="C41" s="4" t="s">
        <v>178</v>
      </c>
      <c r="D41" s="2" t="s">
        <v>187</v>
      </c>
      <c r="F41" s="93" t="s">
        <v>339</v>
      </c>
      <c r="G41" s="4" t="s">
        <v>63</v>
      </c>
      <c r="H41" s="80">
        <v>80</v>
      </c>
      <c r="I41" s="73">
        <f t="shared" ref="I41:L59" si="8">IF($E41="ne","-",)</f>
        <v>0</v>
      </c>
      <c r="J41" s="73">
        <f t="shared" si="8"/>
        <v>0</v>
      </c>
      <c r="K41" s="73">
        <f t="shared" si="8"/>
        <v>0</v>
      </c>
      <c r="L41" s="73">
        <f t="shared" si="8"/>
        <v>0</v>
      </c>
      <c r="M41" s="78">
        <f t="shared" si="0"/>
        <v>0</v>
      </c>
      <c r="N41" s="4">
        <f t="shared" si="7"/>
        <v>0</v>
      </c>
      <c r="P41" s="66"/>
    </row>
    <row r="42" spans="1:16" x14ac:dyDescent="0.25">
      <c r="A42" s="48" t="s">
        <v>70</v>
      </c>
      <c r="B42" s="31" t="s">
        <v>188</v>
      </c>
      <c r="C42" s="4" t="s">
        <v>178</v>
      </c>
      <c r="D42" s="2" t="s">
        <v>189</v>
      </c>
      <c r="F42" s="93" t="s">
        <v>342</v>
      </c>
      <c r="G42" s="4" t="s">
        <v>63</v>
      </c>
      <c r="H42" s="80"/>
      <c r="I42" s="73">
        <f t="shared" si="8"/>
        <v>0</v>
      </c>
      <c r="J42" s="73">
        <f t="shared" si="8"/>
        <v>0</v>
      </c>
      <c r="K42" s="73">
        <f t="shared" si="8"/>
        <v>0</v>
      </c>
      <c r="L42" s="73">
        <f t="shared" si="8"/>
        <v>0</v>
      </c>
      <c r="M42" s="78">
        <f t="shared" si="0"/>
        <v>0</v>
      </c>
      <c r="N42" s="4">
        <f t="shared" si="7"/>
        <v>0</v>
      </c>
      <c r="P42" s="66"/>
    </row>
    <row r="43" spans="1:16" ht="150" x14ac:dyDescent="0.25">
      <c r="A43" s="48" t="s">
        <v>70</v>
      </c>
      <c r="B43" s="31" t="s">
        <v>190</v>
      </c>
      <c r="C43" s="4" t="s">
        <v>178</v>
      </c>
      <c r="D43" s="4" t="s">
        <v>191</v>
      </c>
      <c r="F43" s="99" t="s">
        <v>343</v>
      </c>
      <c r="G43" s="4" t="s">
        <v>63</v>
      </c>
      <c r="H43" s="80">
        <v>70</v>
      </c>
      <c r="I43" s="73">
        <f t="shared" si="8"/>
        <v>0</v>
      </c>
      <c r="J43" s="73">
        <f t="shared" si="8"/>
        <v>0</v>
      </c>
      <c r="K43" s="73">
        <f t="shared" si="8"/>
        <v>0</v>
      </c>
      <c r="L43" s="73">
        <f t="shared" si="8"/>
        <v>0</v>
      </c>
      <c r="M43" s="78">
        <f t="shared" si="0"/>
        <v>0</v>
      </c>
      <c r="N43" s="4">
        <f t="shared" si="7"/>
        <v>0</v>
      </c>
      <c r="P43" s="66"/>
    </row>
    <row r="44" spans="1:16" x14ac:dyDescent="0.25">
      <c r="A44" s="48" t="s">
        <v>70</v>
      </c>
      <c r="B44" s="31" t="s">
        <v>192</v>
      </c>
      <c r="C44" s="9" t="s">
        <v>193</v>
      </c>
      <c r="D44" s="8" t="s">
        <v>194</v>
      </c>
      <c r="F44" s="93"/>
      <c r="G44" s="4" t="s">
        <v>63</v>
      </c>
      <c r="H44" s="80"/>
      <c r="I44" s="73">
        <f t="shared" si="8"/>
        <v>0</v>
      </c>
      <c r="J44" s="73">
        <f t="shared" si="8"/>
        <v>0</v>
      </c>
      <c r="K44" s="73">
        <f t="shared" si="8"/>
        <v>0</v>
      </c>
      <c r="L44" s="73">
        <f t="shared" si="8"/>
        <v>0</v>
      </c>
      <c r="M44" s="78">
        <f t="shared" si="0"/>
        <v>0</v>
      </c>
      <c r="N44" s="4">
        <f t="shared" si="7"/>
        <v>0</v>
      </c>
      <c r="P44" s="66"/>
    </row>
    <row r="45" spans="1:16" x14ac:dyDescent="0.25">
      <c r="A45" s="48" t="s">
        <v>70</v>
      </c>
      <c r="B45" s="31" t="s">
        <v>195</v>
      </c>
      <c r="C45" s="4" t="s">
        <v>193</v>
      </c>
      <c r="D45" s="8" t="s">
        <v>196</v>
      </c>
      <c r="F45" s="98" t="s">
        <v>344</v>
      </c>
      <c r="G45" s="4" t="s">
        <v>63</v>
      </c>
      <c r="H45" s="80"/>
      <c r="I45" s="73">
        <f t="shared" si="8"/>
        <v>0</v>
      </c>
      <c r="J45" s="73">
        <f t="shared" si="8"/>
        <v>0</v>
      </c>
      <c r="K45" s="73">
        <f t="shared" si="8"/>
        <v>0</v>
      </c>
      <c r="L45" s="73">
        <f t="shared" si="8"/>
        <v>0</v>
      </c>
      <c r="M45" s="78">
        <f t="shared" si="0"/>
        <v>0</v>
      </c>
      <c r="N45" s="4">
        <f t="shared" si="7"/>
        <v>0</v>
      </c>
      <c r="P45" s="66"/>
    </row>
    <row r="46" spans="1:16" s="33" customFormat="1" x14ac:dyDescent="0.25">
      <c r="A46" s="84" t="s">
        <v>70</v>
      </c>
      <c r="B46" s="34" t="s">
        <v>197</v>
      </c>
      <c r="C46" s="85" t="s">
        <v>193</v>
      </c>
      <c r="D46" s="25" t="s">
        <v>198</v>
      </c>
      <c r="E46" s="67"/>
      <c r="F46" s="94"/>
      <c r="H46" s="81"/>
      <c r="I46" s="75">
        <f t="shared" si="8"/>
        <v>0</v>
      </c>
      <c r="J46" s="75">
        <f t="shared" si="8"/>
        <v>0</v>
      </c>
      <c r="K46" s="75">
        <f t="shared" si="8"/>
        <v>0</v>
      </c>
      <c r="L46" s="75">
        <f t="shared" si="8"/>
        <v>0</v>
      </c>
      <c r="M46" s="79">
        <f t="shared" si="0"/>
        <v>0</v>
      </c>
      <c r="N46" s="33">
        <f t="shared" si="7"/>
        <v>0</v>
      </c>
      <c r="P46" s="67"/>
    </row>
    <row r="47" spans="1:16" ht="120" x14ac:dyDescent="0.25">
      <c r="A47" s="48" t="s">
        <v>70</v>
      </c>
      <c r="B47" s="51" t="s">
        <v>199</v>
      </c>
      <c r="C47" s="22" t="s">
        <v>200</v>
      </c>
      <c r="D47" s="23" t="s">
        <v>201</v>
      </c>
      <c r="F47" s="100" t="s">
        <v>345</v>
      </c>
      <c r="G47" s="4" t="s">
        <v>63</v>
      </c>
      <c r="H47" s="80">
        <v>3</v>
      </c>
      <c r="I47" s="73">
        <f t="shared" si="8"/>
        <v>0</v>
      </c>
      <c r="J47" s="73">
        <f t="shared" si="8"/>
        <v>0</v>
      </c>
      <c r="K47" s="73">
        <f t="shared" si="8"/>
        <v>0</v>
      </c>
      <c r="L47" s="73">
        <f t="shared" si="8"/>
        <v>0</v>
      </c>
      <c r="M47" s="78">
        <f t="shared" si="0"/>
        <v>0</v>
      </c>
      <c r="N47" s="4">
        <f t="shared" si="7"/>
        <v>0</v>
      </c>
      <c r="P47" s="66"/>
    </row>
    <row r="48" spans="1:16" ht="90" x14ac:dyDescent="0.25">
      <c r="A48" s="48" t="s">
        <v>70</v>
      </c>
      <c r="B48" s="51" t="s">
        <v>199</v>
      </c>
      <c r="C48" s="22" t="s">
        <v>200</v>
      </c>
      <c r="D48" s="23" t="s">
        <v>202</v>
      </c>
      <c r="F48" s="100" t="s">
        <v>346</v>
      </c>
      <c r="G48" s="4" t="s">
        <v>63</v>
      </c>
      <c r="H48" s="80">
        <v>3</v>
      </c>
      <c r="I48" s="73">
        <f t="shared" si="8"/>
        <v>0</v>
      </c>
      <c r="J48" s="73">
        <f t="shared" si="8"/>
        <v>0</v>
      </c>
      <c r="K48" s="73">
        <f t="shared" si="8"/>
        <v>0</v>
      </c>
      <c r="L48" s="73">
        <f t="shared" si="8"/>
        <v>0</v>
      </c>
      <c r="M48" s="78">
        <f t="shared" si="0"/>
        <v>0</v>
      </c>
      <c r="N48" s="4">
        <f t="shared" si="7"/>
        <v>0</v>
      </c>
      <c r="P48" s="66"/>
    </row>
    <row r="49" spans="1:16" s="33" customFormat="1" ht="120" x14ac:dyDescent="0.25">
      <c r="A49" s="49" t="s">
        <v>70</v>
      </c>
      <c r="B49" s="52" t="s">
        <v>203</v>
      </c>
      <c r="C49" s="24" t="s">
        <v>200</v>
      </c>
      <c r="D49" s="25" t="s">
        <v>204</v>
      </c>
      <c r="E49" s="71"/>
      <c r="F49" s="101" t="s">
        <v>347</v>
      </c>
      <c r="G49" s="33" t="s">
        <v>74</v>
      </c>
      <c r="H49" s="81"/>
      <c r="I49" s="75">
        <f t="shared" si="8"/>
        <v>0</v>
      </c>
      <c r="J49" s="75">
        <f t="shared" si="8"/>
        <v>0</v>
      </c>
      <c r="K49" s="75">
        <f t="shared" si="8"/>
        <v>0</v>
      </c>
      <c r="L49" s="75">
        <f t="shared" si="8"/>
        <v>0</v>
      </c>
      <c r="M49" s="79">
        <f t="shared" si="0"/>
        <v>0</v>
      </c>
      <c r="N49" s="33">
        <v>350</v>
      </c>
      <c r="P49" s="67"/>
    </row>
    <row r="50" spans="1:16" ht="75" x14ac:dyDescent="0.25">
      <c r="A50" s="48" t="s">
        <v>70</v>
      </c>
      <c r="B50" s="51" t="s">
        <v>205</v>
      </c>
      <c r="C50" s="22" t="s">
        <v>206</v>
      </c>
      <c r="D50" s="22" t="s">
        <v>207</v>
      </c>
      <c r="F50" s="99" t="s">
        <v>348</v>
      </c>
      <c r="G50" s="4" t="s">
        <v>63</v>
      </c>
      <c r="H50" s="80">
        <v>20</v>
      </c>
      <c r="I50" s="73">
        <f t="shared" si="8"/>
        <v>0</v>
      </c>
      <c r="J50" s="73">
        <f t="shared" si="8"/>
        <v>0</v>
      </c>
      <c r="K50" s="73">
        <f t="shared" si="8"/>
        <v>0</v>
      </c>
      <c r="L50" s="73">
        <f t="shared" si="8"/>
        <v>0</v>
      </c>
      <c r="M50" s="78">
        <f t="shared" si="0"/>
        <v>0</v>
      </c>
      <c r="N50" s="4">
        <f>M50*H50</f>
        <v>0</v>
      </c>
      <c r="P50" s="66"/>
    </row>
    <row r="51" spans="1:16" s="33" customFormat="1" x14ac:dyDescent="0.25">
      <c r="A51" s="48" t="s">
        <v>70</v>
      </c>
      <c r="B51" s="31" t="s">
        <v>208</v>
      </c>
      <c r="C51" s="4" t="s">
        <v>206</v>
      </c>
      <c r="D51" s="5" t="s">
        <v>209</v>
      </c>
      <c r="E51" s="66"/>
      <c r="F51" s="98" t="s">
        <v>349</v>
      </c>
      <c r="G51" s="4" t="s">
        <v>63</v>
      </c>
      <c r="H51" s="80">
        <v>20</v>
      </c>
      <c r="I51" s="73">
        <f t="shared" si="8"/>
        <v>0</v>
      </c>
      <c r="J51" s="73">
        <f t="shared" si="8"/>
        <v>0</v>
      </c>
      <c r="K51" s="73">
        <f t="shared" si="8"/>
        <v>0</v>
      </c>
      <c r="L51" s="73">
        <f t="shared" si="8"/>
        <v>0</v>
      </c>
      <c r="M51" s="78">
        <f t="shared" si="0"/>
        <v>0</v>
      </c>
      <c r="N51" s="4">
        <f>M51*H51</f>
        <v>0</v>
      </c>
      <c r="O51" s="4"/>
      <c r="P51" s="67"/>
    </row>
    <row r="52" spans="1:16" x14ac:dyDescent="0.25">
      <c r="A52" s="47" t="s">
        <v>70</v>
      </c>
      <c r="B52" s="41" t="s">
        <v>210</v>
      </c>
      <c r="C52" s="20" t="s">
        <v>211</v>
      </c>
      <c r="D52" s="7" t="s">
        <v>212</v>
      </c>
      <c r="E52" s="68"/>
      <c r="F52" s="103" t="s">
        <v>350</v>
      </c>
      <c r="G52" s="36" t="s">
        <v>63</v>
      </c>
      <c r="H52" s="82"/>
      <c r="I52" s="74">
        <f t="shared" si="8"/>
        <v>0</v>
      </c>
      <c r="J52" s="74">
        <f t="shared" si="8"/>
        <v>0</v>
      </c>
      <c r="K52" s="74">
        <f t="shared" si="8"/>
        <v>0</v>
      </c>
      <c r="L52" s="74">
        <f t="shared" si="8"/>
        <v>0</v>
      </c>
      <c r="M52" s="104">
        <f t="shared" si="0"/>
        <v>0</v>
      </c>
      <c r="N52" s="36"/>
      <c r="O52" s="36"/>
      <c r="P52" s="66"/>
    </row>
    <row r="53" spans="1:16" x14ac:dyDescent="0.25">
      <c r="A53" s="48" t="s">
        <v>70</v>
      </c>
      <c r="B53" s="31" t="s">
        <v>213</v>
      </c>
      <c r="C53" s="22" t="s">
        <v>211</v>
      </c>
      <c r="D53" s="8" t="s">
        <v>214</v>
      </c>
      <c r="F53" s="93" t="s">
        <v>351</v>
      </c>
      <c r="G53" s="4" t="s">
        <v>74</v>
      </c>
      <c r="H53" s="80"/>
      <c r="I53" s="73">
        <f t="shared" si="8"/>
        <v>0</v>
      </c>
      <c r="J53" s="73">
        <f t="shared" si="8"/>
        <v>0</v>
      </c>
      <c r="K53" s="73">
        <f t="shared" si="8"/>
        <v>0</v>
      </c>
      <c r="L53" s="73">
        <f t="shared" si="8"/>
        <v>0</v>
      </c>
      <c r="M53" s="78">
        <f t="shared" si="0"/>
        <v>0</v>
      </c>
      <c r="P53" s="66"/>
    </row>
    <row r="54" spans="1:16" x14ac:dyDescent="0.25">
      <c r="A54" s="48" t="s">
        <v>70</v>
      </c>
      <c r="B54" s="31" t="s">
        <v>215</v>
      </c>
      <c r="C54" s="22" t="s">
        <v>211</v>
      </c>
      <c r="D54" s="8" t="s">
        <v>216</v>
      </c>
      <c r="F54" s="93" t="s">
        <v>352</v>
      </c>
      <c r="G54" s="4" t="s">
        <v>63</v>
      </c>
      <c r="H54" s="80"/>
      <c r="I54" s="73">
        <f t="shared" si="8"/>
        <v>0</v>
      </c>
      <c r="J54" s="73">
        <f t="shared" si="8"/>
        <v>0</v>
      </c>
      <c r="K54" s="73">
        <f t="shared" si="8"/>
        <v>0</v>
      </c>
      <c r="L54" s="73">
        <f t="shared" si="8"/>
        <v>0</v>
      </c>
      <c r="M54" s="78">
        <f t="shared" si="0"/>
        <v>0</v>
      </c>
      <c r="P54" s="66"/>
    </row>
    <row r="55" spans="1:16" x14ac:dyDescent="0.25">
      <c r="A55" s="48" t="s">
        <v>70</v>
      </c>
      <c r="B55" s="31" t="s">
        <v>217</v>
      </c>
      <c r="C55" s="22" t="s">
        <v>211</v>
      </c>
      <c r="D55" s="8" t="s">
        <v>218</v>
      </c>
      <c r="F55" s="93" t="s">
        <v>353</v>
      </c>
      <c r="G55" s="4" t="s">
        <v>74</v>
      </c>
      <c r="H55" s="80"/>
      <c r="I55" s="73">
        <f t="shared" si="8"/>
        <v>0</v>
      </c>
      <c r="J55" s="73">
        <f t="shared" si="8"/>
        <v>0</v>
      </c>
      <c r="K55" s="73">
        <f t="shared" si="8"/>
        <v>0</v>
      </c>
      <c r="L55" s="73">
        <f t="shared" si="8"/>
        <v>0</v>
      </c>
      <c r="M55" s="78">
        <f t="shared" si="0"/>
        <v>0</v>
      </c>
      <c r="P55" s="66"/>
    </row>
    <row r="56" spans="1:16" x14ac:dyDescent="0.25">
      <c r="A56" s="48" t="s">
        <v>70</v>
      </c>
      <c r="B56" s="31" t="s">
        <v>219</v>
      </c>
      <c r="C56" s="22" t="s">
        <v>211</v>
      </c>
      <c r="D56" s="8" t="s">
        <v>220</v>
      </c>
      <c r="F56" s="93" t="s">
        <v>354</v>
      </c>
      <c r="G56" s="4" t="s">
        <v>63</v>
      </c>
      <c r="H56" s="80"/>
      <c r="I56" s="73">
        <f t="shared" si="8"/>
        <v>0</v>
      </c>
      <c r="J56" s="73">
        <f t="shared" si="8"/>
        <v>0</v>
      </c>
      <c r="K56" s="73">
        <f t="shared" si="8"/>
        <v>0</v>
      </c>
      <c r="L56" s="73">
        <f t="shared" si="8"/>
        <v>0</v>
      </c>
      <c r="M56" s="78">
        <f t="shared" si="0"/>
        <v>0</v>
      </c>
      <c r="P56" s="66"/>
    </row>
    <row r="57" spans="1:16" x14ac:dyDescent="0.25">
      <c r="A57" s="48" t="s">
        <v>70</v>
      </c>
      <c r="B57" s="31" t="s">
        <v>221</v>
      </c>
      <c r="C57" s="22" t="s">
        <v>211</v>
      </c>
      <c r="D57" s="8" t="s">
        <v>222</v>
      </c>
      <c r="F57" s="93" t="s">
        <v>355</v>
      </c>
      <c r="G57" s="4" t="s">
        <v>63</v>
      </c>
      <c r="H57" s="80"/>
      <c r="I57" s="73">
        <f t="shared" si="8"/>
        <v>0</v>
      </c>
      <c r="J57" s="73">
        <f t="shared" si="8"/>
        <v>0</v>
      </c>
      <c r="K57" s="73">
        <f t="shared" si="8"/>
        <v>0</v>
      </c>
      <c r="L57" s="73">
        <f t="shared" si="8"/>
        <v>0</v>
      </c>
      <c r="M57" s="78">
        <f t="shared" si="0"/>
        <v>0</v>
      </c>
      <c r="P57" s="66"/>
    </row>
    <row r="58" spans="1:16" x14ac:dyDescent="0.25">
      <c r="A58" s="48" t="s">
        <v>70</v>
      </c>
      <c r="B58" s="31" t="s">
        <v>223</v>
      </c>
      <c r="C58" s="22" t="s">
        <v>211</v>
      </c>
      <c r="D58" s="4" t="s">
        <v>224</v>
      </c>
      <c r="F58" s="93" t="s">
        <v>355</v>
      </c>
      <c r="G58" s="4" t="s">
        <v>63</v>
      </c>
      <c r="H58" s="80"/>
      <c r="I58" s="73">
        <f t="shared" si="8"/>
        <v>0</v>
      </c>
      <c r="J58" s="73">
        <f t="shared" si="8"/>
        <v>0</v>
      </c>
      <c r="K58" s="73">
        <f t="shared" si="8"/>
        <v>0</v>
      </c>
      <c r="L58" s="73">
        <f t="shared" si="8"/>
        <v>0</v>
      </c>
      <c r="M58" s="78">
        <f t="shared" si="0"/>
        <v>0</v>
      </c>
      <c r="P58" s="66"/>
    </row>
    <row r="59" spans="1:16" x14ac:dyDescent="0.25">
      <c r="A59" s="48" t="s">
        <v>70</v>
      </c>
      <c r="B59" s="31" t="s">
        <v>226</v>
      </c>
      <c r="C59" s="22" t="s">
        <v>211</v>
      </c>
      <c r="D59" s="8" t="s">
        <v>227</v>
      </c>
      <c r="F59" s="93" t="s">
        <v>356</v>
      </c>
      <c r="G59" s="4" t="s">
        <v>63</v>
      </c>
      <c r="H59" s="80"/>
      <c r="I59" s="73">
        <f t="shared" si="8"/>
        <v>0</v>
      </c>
      <c r="J59" s="73">
        <f t="shared" si="8"/>
        <v>0</v>
      </c>
      <c r="K59" s="73">
        <f t="shared" si="8"/>
        <v>0</v>
      </c>
      <c r="L59" s="73">
        <f t="shared" si="8"/>
        <v>0</v>
      </c>
      <c r="M59" s="78">
        <f t="shared" si="0"/>
        <v>0</v>
      </c>
      <c r="P59" s="66"/>
    </row>
    <row r="60" spans="1:16" x14ac:dyDescent="0.25">
      <c r="A60" s="48" t="s">
        <v>70</v>
      </c>
      <c r="B60" s="86" t="s">
        <v>228</v>
      </c>
      <c r="C60" s="4" t="s">
        <v>211</v>
      </c>
      <c r="D60" s="4" t="s">
        <v>229</v>
      </c>
      <c r="E60" s="4"/>
      <c r="G60" s="4" t="s">
        <v>63</v>
      </c>
      <c r="I60" s="4">
        <v>0</v>
      </c>
      <c r="J60" s="4">
        <v>0</v>
      </c>
      <c r="K60" s="4">
        <v>0</v>
      </c>
      <c r="L60" s="4">
        <v>0</v>
      </c>
      <c r="M60" s="78">
        <f t="shared" si="0"/>
        <v>0</v>
      </c>
      <c r="P60" s="66"/>
    </row>
    <row r="61" spans="1:16" s="33" customFormat="1" x14ac:dyDescent="0.25">
      <c r="A61" s="49" t="s">
        <v>70</v>
      </c>
      <c r="B61" s="34" t="s">
        <v>71</v>
      </c>
      <c r="C61" s="24" t="s">
        <v>211</v>
      </c>
      <c r="D61" s="11" t="s">
        <v>73</v>
      </c>
      <c r="E61" s="67"/>
      <c r="F61" s="94" t="s">
        <v>357</v>
      </c>
      <c r="G61" s="33" t="s">
        <v>74</v>
      </c>
      <c r="H61" s="81"/>
      <c r="I61" s="75">
        <v>0</v>
      </c>
      <c r="J61" s="75">
        <v>0</v>
      </c>
      <c r="K61" s="75">
        <v>0</v>
      </c>
      <c r="L61" s="75">
        <v>0</v>
      </c>
      <c r="M61" s="79">
        <f t="shared" si="0"/>
        <v>0</v>
      </c>
      <c r="N61" s="33">
        <f>M59*H59</f>
        <v>0</v>
      </c>
      <c r="P61" s="67"/>
    </row>
    <row r="62" spans="1:16" x14ac:dyDescent="0.25">
      <c r="A62" s="48" t="s">
        <v>70</v>
      </c>
      <c r="B62" s="31" t="s">
        <v>231</v>
      </c>
      <c r="C62" s="9" t="s">
        <v>232</v>
      </c>
      <c r="D62" s="5" t="s">
        <v>233</v>
      </c>
      <c r="F62" s="93" t="s">
        <v>358</v>
      </c>
      <c r="G62" s="4" t="s">
        <v>74</v>
      </c>
      <c r="H62" s="80"/>
      <c r="I62" s="73">
        <f t="shared" ref="I62:L77" si="9">IF($E62="ne","-",)</f>
        <v>0</v>
      </c>
      <c r="J62" s="73">
        <f t="shared" si="9"/>
        <v>0</v>
      </c>
      <c r="K62" s="73">
        <f t="shared" si="9"/>
        <v>0</v>
      </c>
      <c r="L62" s="73">
        <f t="shared" si="9"/>
        <v>0</v>
      </c>
      <c r="M62" s="78">
        <f t="shared" si="0"/>
        <v>0</v>
      </c>
      <c r="N62" s="4">
        <f t="shared" ref="N62:N77" si="10">M62*H62</f>
        <v>0</v>
      </c>
      <c r="P62" s="66"/>
    </row>
    <row r="63" spans="1:16" ht="90" x14ac:dyDescent="0.25">
      <c r="A63" s="48" t="s">
        <v>70</v>
      </c>
      <c r="B63" s="31" t="s">
        <v>234</v>
      </c>
      <c r="C63" s="4" t="s">
        <v>235</v>
      </c>
      <c r="D63" s="5" t="s">
        <v>236</v>
      </c>
      <c r="E63" s="72"/>
      <c r="F63" s="100" t="s">
        <v>359</v>
      </c>
      <c r="G63" s="4" t="s">
        <v>74</v>
      </c>
      <c r="H63" s="80"/>
      <c r="I63" s="73">
        <f t="shared" si="9"/>
        <v>0</v>
      </c>
      <c r="J63" s="73">
        <f t="shared" si="9"/>
        <v>0</v>
      </c>
      <c r="K63" s="73">
        <f t="shared" si="9"/>
        <v>0</v>
      </c>
      <c r="L63" s="73">
        <f t="shared" si="9"/>
        <v>0</v>
      </c>
      <c r="M63" s="78">
        <f t="shared" si="0"/>
        <v>0</v>
      </c>
      <c r="N63" s="4">
        <f t="shared" si="10"/>
        <v>0</v>
      </c>
      <c r="P63" s="66"/>
    </row>
    <row r="64" spans="1:16" x14ac:dyDescent="0.25">
      <c r="A64" s="48" t="s">
        <v>70</v>
      </c>
      <c r="B64" s="31" t="s">
        <v>237</v>
      </c>
      <c r="C64" s="4" t="s">
        <v>232</v>
      </c>
      <c r="D64" s="5" t="s">
        <v>238</v>
      </c>
      <c r="F64" s="93" t="s">
        <v>360</v>
      </c>
      <c r="G64" s="4" t="s">
        <v>74</v>
      </c>
      <c r="H64" s="80"/>
      <c r="I64" s="73">
        <f t="shared" si="9"/>
        <v>0</v>
      </c>
      <c r="J64" s="73">
        <f t="shared" si="9"/>
        <v>0</v>
      </c>
      <c r="K64" s="73">
        <f t="shared" si="9"/>
        <v>0</v>
      </c>
      <c r="L64" s="73">
        <f t="shared" si="9"/>
        <v>0</v>
      </c>
      <c r="M64" s="78">
        <f t="shared" si="0"/>
        <v>0</v>
      </c>
      <c r="N64" s="4">
        <f t="shared" si="10"/>
        <v>0</v>
      </c>
      <c r="P64" s="66"/>
    </row>
    <row r="65" spans="1:16" s="33" customFormat="1" x14ac:dyDescent="0.25">
      <c r="A65" s="49" t="s">
        <v>70</v>
      </c>
      <c r="B65" s="34" t="s">
        <v>239</v>
      </c>
      <c r="C65" s="33" t="s">
        <v>232</v>
      </c>
      <c r="D65" s="6" t="s">
        <v>240</v>
      </c>
      <c r="E65" s="67"/>
      <c r="F65" s="94" t="s">
        <v>361</v>
      </c>
      <c r="G65" s="33" t="s">
        <v>74</v>
      </c>
      <c r="H65" s="81">
        <v>150</v>
      </c>
      <c r="I65" s="75">
        <f t="shared" si="9"/>
        <v>0</v>
      </c>
      <c r="J65" s="75">
        <f t="shared" si="9"/>
        <v>0</v>
      </c>
      <c r="K65" s="75">
        <f t="shared" si="9"/>
        <v>0</v>
      </c>
      <c r="L65" s="75">
        <f t="shared" si="9"/>
        <v>0</v>
      </c>
      <c r="M65" s="79">
        <f t="shared" si="0"/>
        <v>0</v>
      </c>
      <c r="N65" s="33">
        <f t="shared" si="10"/>
        <v>0</v>
      </c>
      <c r="P65" s="67"/>
    </row>
    <row r="66" spans="1:16" ht="60" x14ac:dyDescent="0.25">
      <c r="A66" s="48" t="s">
        <v>70</v>
      </c>
      <c r="B66" s="31" t="s">
        <v>241</v>
      </c>
      <c r="C66" s="9" t="s">
        <v>242</v>
      </c>
      <c r="D66" s="5" t="s">
        <v>243</v>
      </c>
      <c r="E66" s="72"/>
      <c r="F66" s="100" t="s">
        <v>362</v>
      </c>
      <c r="G66" s="4" t="s">
        <v>74</v>
      </c>
      <c r="H66" s="80">
        <v>1200</v>
      </c>
      <c r="I66" s="73">
        <f t="shared" si="9"/>
        <v>0</v>
      </c>
      <c r="J66" s="73">
        <f t="shared" si="9"/>
        <v>0</v>
      </c>
      <c r="K66" s="73">
        <f t="shared" si="9"/>
        <v>0</v>
      </c>
      <c r="L66" s="73">
        <f t="shared" si="9"/>
        <v>0</v>
      </c>
      <c r="M66" s="78">
        <f t="shared" si="0"/>
        <v>0</v>
      </c>
      <c r="N66" s="4">
        <f t="shared" si="10"/>
        <v>0</v>
      </c>
      <c r="P66" s="66"/>
    </row>
    <row r="67" spans="1:16" x14ac:dyDescent="0.25">
      <c r="A67" s="48" t="s">
        <v>70</v>
      </c>
      <c r="B67" s="31" t="s">
        <v>244</v>
      </c>
      <c r="C67" s="4" t="s">
        <v>242</v>
      </c>
      <c r="D67" s="8" t="s">
        <v>245</v>
      </c>
      <c r="F67" s="93" t="s">
        <v>363</v>
      </c>
      <c r="G67" s="4" t="s">
        <v>74</v>
      </c>
      <c r="H67" s="80"/>
      <c r="I67" s="73">
        <f t="shared" si="9"/>
        <v>0</v>
      </c>
      <c r="J67" s="73">
        <f t="shared" si="9"/>
        <v>0</v>
      </c>
      <c r="K67" s="73">
        <f t="shared" si="9"/>
        <v>0</v>
      </c>
      <c r="L67" s="73">
        <f t="shared" si="9"/>
        <v>0</v>
      </c>
      <c r="M67" s="78">
        <f t="shared" si="0"/>
        <v>0</v>
      </c>
      <c r="N67" s="4">
        <f t="shared" si="10"/>
        <v>0</v>
      </c>
      <c r="P67" s="66"/>
    </row>
    <row r="68" spans="1:16" s="33" customFormat="1" x14ac:dyDescent="0.25">
      <c r="A68" s="49" t="s">
        <v>70</v>
      </c>
      <c r="B68" s="34" t="s">
        <v>246</v>
      </c>
      <c r="C68" s="33" t="s">
        <v>242</v>
      </c>
      <c r="D68" s="11" t="s">
        <v>247</v>
      </c>
      <c r="E68" s="67"/>
      <c r="F68" s="94" t="s">
        <v>364</v>
      </c>
      <c r="G68" s="33" t="s">
        <v>74</v>
      </c>
      <c r="H68" s="81"/>
      <c r="I68" s="75">
        <f t="shared" si="9"/>
        <v>0</v>
      </c>
      <c r="J68" s="75">
        <f t="shared" si="9"/>
        <v>0</v>
      </c>
      <c r="K68" s="75">
        <f t="shared" si="9"/>
        <v>0</v>
      </c>
      <c r="L68" s="75">
        <f t="shared" si="9"/>
        <v>0</v>
      </c>
      <c r="M68" s="79">
        <f t="shared" si="0"/>
        <v>0</v>
      </c>
      <c r="N68" s="33">
        <f t="shared" si="10"/>
        <v>0</v>
      </c>
      <c r="P68" s="67"/>
    </row>
    <row r="69" spans="1:16" ht="30" x14ac:dyDescent="0.25">
      <c r="A69" s="48" t="s">
        <v>70</v>
      </c>
      <c r="B69" s="31" t="s">
        <v>248</v>
      </c>
      <c r="C69" s="9" t="s">
        <v>249</v>
      </c>
      <c r="D69" s="8" t="s">
        <v>250</v>
      </c>
      <c r="F69" s="100" t="s">
        <v>365</v>
      </c>
      <c r="G69" s="4" t="s">
        <v>74</v>
      </c>
      <c r="H69" s="80">
        <v>200</v>
      </c>
      <c r="I69" s="73">
        <f t="shared" si="9"/>
        <v>0</v>
      </c>
      <c r="J69" s="73">
        <f t="shared" si="9"/>
        <v>0</v>
      </c>
      <c r="K69" s="73">
        <f t="shared" si="9"/>
        <v>0</v>
      </c>
      <c r="L69" s="73">
        <f t="shared" si="9"/>
        <v>0</v>
      </c>
      <c r="M69" s="78">
        <f t="shared" si="0"/>
        <v>0</v>
      </c>
      <c r="N69" s="4">
        <f t="shared" si="10"/>
        <v>0</v>
      </c>
      <c r="P69" s="66"/>
    </row>
    <row r="70" spans="1:16" x14ac:dyDescent="0.25">
      <c r="A70" s="48" t="s">
        <v>70</v>
      </c>
      <c r="B70" s="31" t="s">
        <v>251</v>
      </c>
      <c r="C70" s="4" t="s">
        <v>249</v>
      </c>
      <c r="D70" s="8" t="s">
        <v>252</v>
      </c>
      <c r="F70" s="93" t="s">
        <v>366</v>
      </c>
      <c r="G70" s="4" t="s">
        <v>74</v>
      </c>
      <c r="H70" s="80"/>
      <c r="I70" s="73">
        <f t="shared" si="9"/>
        <v>0</v>
      </c>
      <c r="J70" s="73">
        <f t="shared" si="9"/>
        <v>0</v>
      </c>
      <c r="K70" s="73">
        <f t="shared" si="9"/>
        <v>0</v>
      </c>
      <c r="L70" s="73">
        <f t="shared" si="9"/>
        <v>0</v>
      </c>
      <c r="M70" s="78">
        <f t="shared" si="0"/>
        <v>0</v>
      </c>
      <c r="N70" s="4">
        <f t="shared" si="10"/>
        <v>0</v>
      </c>
      <c r="P70" s="66"/>
    </row>
    <row r="71" spans="1:16" s="33" customFormat="1" x14ac:dyDescent="0.25">
      <c r="A71" s="49" t="s">
        <v>70</v>
      </c>
      <c r="B71" s="34" t="s">
        <v>253</v>
      </c>
      <c r="C71" s="33" t="s">
        <v>249</v>
      </c>
      <c r="D71" s="11" t="s">
        <v>254</v>
      </c>
      <c r="E71" s="67"/>
      <c r="F71" s="94" t="s">
        <v>358</v>
      </c>
      <c r="G71" s="33" t="s">
        <v>74</v>
      </c>
      <c r="H71" s="81">
        <v>70</v>
      </c>
      <c r="I71" s="75">
        <f t="shared" si="9"/>
        <v>0</v>
      </c>
      <c r="J71" s="75">
        <f t="shared" si="9"/>
        <v>0</v>
      </c>
      <c r="K71" s="75">
        <f t="shared" si="9"/>
        <v>0</v>
      </c>
      <c r="L71" s="75">
        <f t="shared" si="9"/>
        <v>0</v>
      </c>
      <c r="M71" s="79">
        <f t="shared" ref="M71:M77" si="11">IF($E71="ne","-",I71+J71+K71+L71)</f>
        <v>0</v>
      </c>
      <c r="N71" s="33">
        <f t="shared" si="10"/>
        <v>0</v>
      </c>
      <c r="P71" s="67"/>
    </row>
    <row r="72" spans="1:16" x14ac:dyDescent="0.25">
      <c r="A72" s="48" t="s">
        <v>70</v>
      </c>
      <c r="B72" s="31" t="s">
        <v>255</v>
      </c>
      <c r="C72" s="9" t="s">
        <v>256</v>
      </c>
      <c r="D72" s="5" t="s">
        <v>257</v>
      </c>
      <c r="F72" s="93" t="s">
        <v>351</v>
      </c>
      <c r="G72" s="4" t="s">
        <v>74</v>
      </c>
      <c r="H72" s="80">
        <v>150</v>
      </c>
      <c r="I72" s="73">
        <f t="shared" si="9"/>
        <v>0</v>
      </c>
      <c r="J72" s="73">
        <f t="shared" si="9"/>
        <v>0</v>
      </c>
      <c r="K72" s="73">
        <f t="shared" si="9"/>
        <v>0</v>
      </c>
      <c r="L72" s="73">
        <f t="shared" si="9"/>
        <v>0</v>
      </c>
      <c r="M72" s="78">
        <f t="shared" si="11"/>
        <v>0</v>
      </c>
      <c r="N72" s="4">
        <f t="shared" si="10"/>
        <v>0</v>
      </c>
      <c r="P72" s="66"/>
    </row>
    <row r="73" spans="1:16" x14ac:dyDescent="0.25">
      <c r="A73" s="48" t="s">
        <v>70</v>
      </c>
      <c r="B73" s="31" t="s">
        <v>258</v>
      </c>
      <c r="C73" s="9" t="s">
        <v>256</v>
      </c>
      <c r="D73" s="5" t="s">
        <v>259</v>
      </c>
      <c r="F73" s="93" t="s">
        <v>358</v>
      </c>
      <c r="G73" s="4" t="s">
        <v>74</v>
      </c>
      <c r="H73" s="80"/>
      <c r="I73" s="73">
        <f t="shared" si="9"/>
        <v>0</v>
      </c>
      <c r="J73" s="73">
        <f t="shared" si="9"/>
        <v>0</v>
      </c>
      <c r="K73" s="73">
        <f t="shared" si="9"/>
        <v>0</v>
      </c>
      <c r="L73" s="73">
        <f t="shared" si="9"/>
        <v>0</v>
      </c>
      <c r="M73" s="78">
        <f t="shared" si="11"/>
        <v>0</v>
      </c>
      <c r="P73" s="66"/>
    </row>
    <row r="74" spans="1:16" s="33" customFormat="1" x14ac:dyDescent="0.25">
      <c r="A74" s="49" t="s">
        <v>70</v>
      </c>
      <c r="B74" s="52" t="s">
        <v>260</v>
      </c>
      <c r="C74" s="24" t="s">
        <v>256</v>
      </c>
      <c r="D74" s="24" t="s">
        <v>261</v>
      </c>
      <c r="E74" s="67"/>
      <c r="F74" s="94" t="s">
        <v>358</v>
      </c>
      <c r="G74" s="33" t="s">
        <v>74</v>
      </c>
      <c r="H74" s="81"/>
      <c r="I74" s="75">
        <f t="shared" si="9"/>
        <v>0</v>
      </c>
      <c r="J74" s="75">
        <f t="shared" si="9"/>
        <v>0</v>
      </c>
      <c r="K74" s="75">
        <f t="shared" si="9"/>
        <v>0</v>
      </c>
      <c r="L74" s="75">
        <f t="shared" si="9"/>
        <v>0</v>
      </c>
      <c r="M74" s="79">
        <f t="shared" si="11"/>
        <v>0</v>
      </c>
      <c r="P74" s="67"/>
    </row>
    <row r="75" spans="1:16" s="33" customFormat="1" x14ac:dyDescent="0.25">
      <c r="A75" s="49" t="s">
        <v>70</v>
      </c>
      <c r="B75" s="52" t="s">
        <v>367</v>
      </c>
      <c r="C75" s="85" t="s">
        <v>263</v>
      </c>
      <c r="D75" s="25" t="s">
        <v>264</v>
      </c>
      <c r="E75" s="67"/>
      <c r="F75" s="94"/>
      <c r="G75" s="33" t="s">
        <v>74</v>
      </c>
      <c r="H75" s="81"/>
      <c r="I75" s="75">
        <f t="shared" si="9"/>
        <v>0</v>
      </c>
      <c r="J75" s="75">
        <f t="shared" si="9"/>
        <v>0</v>
      </c>
      <c r="K75" s="75">
        <f t="shared" si="9"/>
        <v>0</v>
      </c>
      <c r="L75" s="75">
        <f t="shared" si="9"/>
        <v>0</v>
      </c>
      <c r="M75" s="79">
        <f t="shared" si="11"/>
        <v>0</v>
      </c>
      <c r="N75" s="33">
        <f t="shared" si="10"/>
        <v>0</v>
      </c>
      <c r="P75" s="67"/>
    </row>
    <row r="76" spans="1:16" s="40" customFormat="1" x14ac:dyDescent="0.25">
      <c r="A76" s="53" t="s">
        <v>70</v>
      </c>
      <c r="B76" s="38" t="s">
        <v>265</v>
      </c>
      <c r="C76" s="12" t="s">
        <v>174</v>
      </c>
      <c r="D76" s="12" t="s">
        <v>174</v>
      </c>
      <c r="E76" s="69"/>
      <c r="F76" s="94"/>
      <c r="G76" s="40" t="s">
        <v>74</v>
      </c>
      <c r="H76" s="83"/>
      <c r="I76" s="76">
        <f t="shared" si="9"/>
        <v>0</v>
      </c>
      <c r="J76" s="76">
        <f t="shared" si="9"/>
        <v>0</v>
      </c>
      <c r="K76" s="76">
        <f t="shared" si="9"/>
        <v>0</v>
      </c>
      <c r="L76" s="76">
        <f t="shared" si="9"/>
        <v>0</v>
      </c>
      <c r="M76" s="79">
        <f t="shared" si="11"/>
        <v>0</v>
      </c>
      <c r="N76" s="40">
        <f t="shared" si="10"/>
        <v>0</v>
      </c>
      <c r="P76" s="67"/>
    </row>
    <row r="77" spans="1:16" ht="75" x14ac:dyDescent="0.25">
      <c r="A77" s="48" t="s">
        <v>70</v>
      </c>
      <c r="B77" s="31" t="s">
        <v>266</v>
      </c>
      <c r="C77" s="22" t="s">
        <v>176</v>
      </c>
      <c r="D77" s="22" t="s">
        <v>267</v>
      </c>
      <c r="E77" s="72"/>
      <c r="F77" s="100" t="s">
        <v>372</v>
      </c>
      <c r="G77" s="4" t="s">
        <v>74</v>
      </c>
      <c r="H77" s="80"/>
      <c r="I77" s="4">
        <f t="shared" si="9"/>
        <v>0</v>
      </c>
      <c r="J77" s="4">
        <f t="shared" si="9"/>
        <v>0</v>
      </c>
      <c r="K77" s="4">
        <f t="shared" si="9"/>
        <v>0</v>
      </c>
      <c r="L77" s="4">
        <f t="shared" si="9"/>
        <v>0</v>
      </c>
      <c r="M77" s="78">
        <f t="shared" si="11"/>
        <v>0</v>
      </c>
      <c r="N77" s="4">
        <f t="shared" si="10"/>
        <v>0</v>
      </c>
      <c r="P77" s="66"/>
    </row>
    <row r="78" spans="1:16" x14ac:dyDescent="0.25">
      <c r="B78" s="31"/>
    </row>
  </sheetData>
  <autoFilter ref="B2:O2" xr:uid="{B02B0A38-8D86-4EC5-97E5-74611AC52359}"/>
  <mergeCells count="1">
    <mergeCell ref="I1:M1"/>
  </mergeCells>
  <conditionalFormatting sqref="E3:E59 E61:E77">
    <cfRule type="cellIs" dxfId="7" priority="7" operator="equal">
      <formula>"ne"</formula>
    </cfRule>
  </conditionalFormatting>
  <conditionalFormatting sqref="I4:L59 I61:L77">
    <cfRule type="cellIs" dxfId="6" priority="4" operator="between">
      <formula>0.0001</formula>
      <formula>1000</formula>
    </cfRule>
    <cfRule type="cellIs" dxfId="5" priority="5" operator="equal">
      <formula>"-"</formula>
    </cfRule>
  </conditionalFormatting>
  <conditionalFormatting sqref="M4:M77">
    <cfRule type="cellIs" dxfId="4" priority="6" operator="equal">
      <formula>0</formula>
    </cfRule>
  </conditionalFormatting>
  <conditionalFormatting sqref="P3:P34 P37:P77">
    <cfRule type="expression" dxfId="3" priority="3">
      <formula>AND($E3="ano",ISBLANK(P3))</formula>
    </cfRule>
  </conditionalFormatting>
  <conditionalFormatting sqref="P3:P35 P37:P77">
    <cfRule type="cellIs" dxfId="2" priority="1" operator="equal">
      <formula>"Revize"</formula>
    </cfRule>
    <cfRule type="cellIs" dxfId="1" priority="2" operator="equal">
      <formula>"Final"</formula>
    </cfRule>
  </conditionalFormatting>
  <conditionalFormatting sqref="P35">
    <cfRule type="expression" dxfId="0" priority="8">
      <formula>AND($E36="ano",ISBLANK(P35))</formula>
    </cfRule>
  </conditionalFormatting>
  <pageMargins left="0.7" right="0.7" top="0.78740157499999996" bottom="0.78740157499999996" header="0.3" footer="0.3"/>
  <pageSetup paperSize="8" orientation="landscape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1EEBA-784B-48D4-A07D-D15CEED3978D}">
  <dimension ref="A1:W62"/>
  <sheetViews>
    <sheetView zoomScaleNormal="100" workbookViewId="0">
      <pane ySplit="2" topLeftCell="A8" activePane="bottomLeft" state="frozen"/>
      <selection pane="bottomLeft" activeCell="J62" sqref="J62"/>
    </sheetView>
  </sheetViews>
  <sheetFormatPr defaultColWidth="9.140625" defaultRowHeight="15" x14ac:dyDescent="0.25"/>
  <cols>
    <col min="1" max="1" width="9.140625" style="4"/>
    <col min="2" max="5" width="5" style="4" customWidth="1"/>
    <col min="6" max="6" width="8.28515625" style="8" customWidth="1"/>
    <col min="7" max="7" width="11.140625" style="4" customWidth="1"/>
    <col min="8" max="8" width="45.7109375" style="4" customWidth="1"/>
    <col min="9" max="9" width="36.28515625" style="4" customWidth="1"/>
    <col min="10" max="10" width="46.7109375" style="4" bestFit="1" customWidth="1"/>
    <col min="11" max="11" width="9.140625" style="4"/>
    <col min="12" max="12" width="12.140625" style="4" customWidth="1"/>
    <col min="13" max="17" width="8.5703125" style="4" customWidth="1"/>
    <col min="18" max="18" width="11.42578125" style="4" customWidth="1"/>
    <col min="19" max="22" width="8.5703125" style="4" customWidth="1"/>
    <col min="23" max="16384" width="9.140625" style="4"/>
  </cols>
  <sheetData>
    <row r="1" spans="1:23" ht="30" x14ac:dyDescent="0.25">
      <c r="A1" s="16" t="s">
        <v>321</v>
      </c>
      <c r="B1" s="367" t="s">
        <v>322</v>
      </c>
      <c r="C1" s="368"/>
      <c r="D1" s="368"/>
      <c r="E1" s="368"/>
      <c r="F1" s="17" t="s">
        <v>43</v>
      </c>
      <c r="G1" s="17" t="s">
        <v>324</v>
      </c>
      <c r="H1" s="16" t="s">
        <v>44</v>
      </c>
      <c r="I1" s="16" t="s">
        <v>45</v>
      </c>
      <c r="J1" s="16" t="s">
        <v>325</v>
      </c>
      <c r="K1" s="29" t="s">
        <v>48</v>
      </c>
      <c r="L1" s="17" t="s">
        <v>50</v>
      </c>
      <c r="M1" s="368" t="s">
        <v>311</v>
      </c>
      <c r="N1" s="368"/>
      <c r="O1" s="368"/>
      <c r="P1" s="368"/>
      <c r="Q1" s="368"/>
      <c r="R1" s="17" t="s">
        <v>326</v>
      </c>
      <c r="S1" s="368" t="s">
        <v>374</v>
      </c>
      <c r="T1" s="368"/>
      <c r="U1" s="368"/>
      <c r="V1" s="368"/>
      <c r="W1" s="368"/>
    </row>
    <row r="2" spans="1:23" s="18" customFormat="1" ht="36.75" thickBot="1" x14ac:dyDescent="0.3">
      <c r="B2" s="18" t="s">
        <v>94</v>
      </c>
      <c r="C2" s="18" t="s">
        <v>95</v>
      </c>
      <c r="D2" s="18" t="s">
        <v>96</v>
      </c>
      <c r="E2" s="18" t="s">
        <v>97</v>
      </c>
      <c r="F2" s="27"/>
      <c r="G2" s="26" t="s">
        <v>55</v>
      </c>
      <c r="J2" s="19"/>
      <c r="K2" s="26" t="s">
        <v>375</v>
      </c>
      <c r="L2" s="18" t="s">
        <v>57</v>
      </c>
      <c r="M2" s="18" t="s">
        <v>94</v>
      </c>
      <c r="N2" s="18" t="s">
        <v>95</v>
      </c>
      <c r="O2" s="18" t="s">
        <v>96</v>
      </c>
      <c r="P2" s="18" t="s">
        <v>97</v>
      </c>
      <c r="Q2" s="18" t="s">
        <v>376</v>
      </c>
      <c r="R2" s="18" t="s">
        <v>57</v>
      </c>
      <c r="S2" s="18" t="s">
        <v>94</v>
      </c>
      <c r="T2" s="18" t="s">
        <v>95</v>
      </c>
      <c r="U2" s="18" t="s">
        <v>96</v>
      </c>
      <c r="V2" s="18" t="s">
        <v>97</v>
      </c>
      <c r="W2" s="18" t="s">
        <v>283</v>
      </c>
    </row>
    <row r="3" spans="1:23" x14ac:dyDescent="0.25">
      <c r="F3" s="31" t="s">
        <v>104</v>
      </c>
      <c r="G3" s="32" t="s">
        <v>99</v>
      </c>
      <c r="H3" s="9" t="s">
        <v>101</v>
      </c>
      <c r="I3" s="5" t="s">
        <v>105</v>
      </c>
      <c r="J3" s="4" t="s">
        <v>332</v>
      </c>
      <c r="K3" s="4" t="s">
        <v>377</v>
      </c>
      <c r="Q3" s="43">
        <f>M3+N3+O3+P3</f>
        <v>0</v>
      </c>
      <c r="R3" s="4">
        <f>Q3*L3</f>
        <v>0</v>
      </c>
    </row>
    <row r="4" spans="1:23" x14ac:dyDescent="0.25">
      <c r="F4" s="31" t="s">
        <v>106</v>
      </c>
      <c r="G4" s="32" t="s">
        <v>99</v>
      </c>
      <c r="H4" s="4" t="s">
        <v>101</v>
      </c>
      <c r="I4" s="5" t="s">
        <v>333</v>
      </c>
      <c r="K4" s="4" t="s">
        <v>103</v>
      </c>
      <c r="Q4" s="43">
        <f t="shared" ref="Q4:Q61" si="0">M4+N4+O4+P4</f>
        <v>0</v>
      </c>
      <c r="R4" s="4">
        <f t="shared" ref="R4:R61" si="1">Q4*L4</f>
        <v>0</v>
      </c>
    </row>
    <row r="5" spans="1:23" x14ac:dyDescent="0.25">
      <c r="F5" s="31" t="s">
        <v>114</v>
      </c>
      <c r="G5" s="32" t="s">
        <v>99</v>
      </c>
      <c r="H5" s="4" t="s">
        <v>101</v>
      </c>
      <c r="I5" s="5" t="s">
        <v>115</v>
      </c>
      <c r="K5" s="4" t="s">
        <v>103</v>
      </c>
      <c r="Q5" s="43">
        <f t="shared" si="0"/>
        <v>0</v>
      </c>
      <c r="R5" s="4">
        <f t="shared" si="1"/>
        <v>0</v>
      </c>
    </row>
    <row r="6" spans="1:23" x14ac:dyDescent="0.25">
      <c r="F6" s="31" t="s">
        <v>116</v>
      </c>
      <c r="G6" s="32" t="s">
        <v>99</v>
      </c>
      <c r="H6" s="4" t="s">
        <v>101</v>
      </c>
      <c r="I6" s="5" t="s">
        <v>117</v>
      </c>
      <c r="K6" s="4" t="s">
        <v>103</v>
      </c>
      <c r="Q6" s="43">
        <f t="shared" si="0"/>
        <v>0</v>
      </c>
      <c r="R6" s="4">
        <f t="shared" si="1"/>
        <v>0</v>
      </c>
    </row>
    <row r="7" spans="1:23" x14ac:dyDescent="0.25">
      <c r="F7" s="31" t="s">
        <v>118</v>
      </c>
      <c r="G7" s="32" t="s">
        <v>99</v>
      </c>
      <c r="H7" s="4" t="s">
        <v>101</v>
      </c>
      <c r="I7" s="5" t="s">
        <v>119</v>
      </c>
      <c r="K7" s="4" t="s">
        <v>103</v>
      </c>
      <c r="Q7" s="43">
        <f t="shared" si="0"/>
        <v>0</v>
      </c>
      <c r="R7" s="4">
        <f t="shared" si="1"/>
        <v>0</v>
      </c>
    </row>
    <row r="8" spans="1:23" x14ac:dyDescent="0.25">
      <c r="F8" s="31" t="s">
        <v>120</v>
      </c>
      <c r="G8" s="32" t="s">
        <v>99</v>
      </c>
      <c r="H8" s="4" t="s">
        <v>101</v>
      </c>
      <c r="I8" s="5" t="s">
        <v>121</v>
      </c>
      <c r="K8" s="4" t="s">
        <v>74</v>
      </c>
      <c r="Q8" s="43">
        <f t="shared" si="0"/>
        <v>0</v>
      </c>
      <c r="R8" s="4">
        <f t="shared" si="1"/>
        <v>0</v>
      </c>
    </row>
    <row r="9" spans="1:23" x14ac:dyDescent="0.25">
      <c r="F9" s="31" t="s">
        <v>122</v>
      </c>
      <c r="G9" s="32" t="s">
        <v>99</v>
      </c>
      <c r="H9" s="4" t="s">
        <v>101</v>
      </c>
      <c r="I9" s="5" t="s">
        <v>123</v>
      </c>
      <c r="K9" s="4" t="s">
        <v>74</v>
      </c>
      <c r="Q9" s="43">
        <f t="shared" si="0"/>
        <v>0</v>
      </c>
      <c r="R9" s="4">
        <f t="shared" si="1"/>
        <v>0</v>
      </c>
    </row>
    <row r="10" spans="1:23" x14ac:dyDescent="0.25">
      <c r="F10" s="31" t="s">
        <v>124</v>
      </c>
      <c r="G10" s="32" t="s">
        <v>99</v>
      </c>
      <c r="H10" s="4" t="s">
        <v>101</v>
      </c>
      <c r="I10" s="5" t="s">
        <v>125</v>
      </c>
      <c r="Q10" s="4">
        <f t="shared" si="0"/>
        <v>0</v>
      </c>
      <c r="R10" s="4">
        <f t="shared" si="1"/>
        <v>0</v>
      </c>
    </row>
    <row r="11" spans="1:23" x14ac:dyDescent="0.25">
      <c r="F11" s="31" t="s">
        <v>126</v>
      </c>
      <c r="G11" s="32" t="s">
        <v>99</v>
      </c>
      <c r="H11" s="4" t="s">
        <v>101</v>
      </c>
      <c r="I11" s="5" t="s">
        <v>127</v>
      </c>
      <c r="Q11" s="4">
        <f t="shared" si="0"/>
        <v>0</v>
      </c>
      <c r="R11" s="4">
        <f t="shared" si="1"/>
        <v>0</v>
      </c>
    </row>
    <row r="12" spans="1:23" s="33" customFormat="1" x14ac:dyDescent="0.25">
      <c r="F12" s="34" t="s">
        <v>128</v>
      </c>
      <c r="G12" s="35" t="s">
        <v>99</v>
      </c>
      <c r="H12" s="33" t="s">
        <v>101</v>
      </c>
      <c r="I12" s="6" t="s">
        <v>129</v>
      </c>
      <c r="Q12" s="4">
        <f t="shared" si="0"/>
        <v>0</v>
      </c>
      <c r="R12" s="4">
        <f t="shared" si="1"/>
        <v>0</v>
      </c>
    </row>
    <row r="13" spans="1:23" s="36" customFormat="1" x14ac:dyDescent="0.25">
      <c r="F13" s="31" t="s">
        <v>130</v>
      </c>
      <c r="G13" s="37" t="s">
        <v>99</v>
      </c>
      <c r="H13" s="10" t="s">
        <v>131</v>
      </c>
      <c r="I13" s="7" t="s">
        <v>132</v>
      </c>
      <c r="Q13" s="4">
        <f t="shared" si="0"/>
        <v>0</v>
      </c>
      <c r="R13" s="4">
        <f t="shared" si="1"/>
        <v>0</v>
      </c>
    </row>
    <row r="14" spans="1:23" s="33" customFormat="1" x14ac:dyDescent="0.25">
      <c r="F14" s="34" t="s">
        <v>133</v>
      </c>
      <c r="G14" s="35" t="s">
        <v>99</v>
      </c>
      <c r="H14" s="3" t="s">
        <v>131</v>
      </c>
      <c r="I14" s="11" t="s">
        <v>134</v>
      </c>
      <c r="Q14" s="4">
        <f t="shared" si="0"/>
        <v>0</v>
      </c>
      <c r="R14" s="4">
        <f t="shared" si="1"/>
        <v>0</v>
      </c>
    </row>
    <row r="15" spans="1:23" x14ac:dyDescent="0.25">
      <c r="F15" s="31" t="s">
        <v>135</v>
      </c>
      <c r="G15" s="32" t="s">
        <v>99</v>
      </c>
      <c r="H15" s="9" t="s">
        <v>136</v>
      </c>
      <c r="I15" s="8" t="s">
        <v>137</v>
      </c>
      <c r="Q15" s="43">
        <f t="shared" si="0"/>
        <v>0</v>
      </c>
      <c r="R15" s="4">
        <f t="shared" si="1"/>
        <v>0</v>
      </c>
    </row>
    <row r="16" spans="1:23" x14ac:dyDescent="0.25">
      <c r="F16" s="31" t="s">
        <v>135</v>
      </c>
      <c r="G16" s="32" t="s">
        <v>99</v>
      </c>
      <c r="H16" s="9" t="s">
        <v>136</v>
      </c>
      <c r="I16" s="8" t="s">
        <v>139</v>
      </c>
      <c r="Q16" s="43">
        <f t="shared" si="0"/>
        <v>0</v>
      </c>
      <c r="R16" s="4">
        <f t="shared" si="1"/>
        <v>0</v>
      </c>
    </row>
    <row r="17" spans="6:21" s="33" customFormat="1" x14ac:dyDescent="0.25">
      <c r="F17" s="34" t="s">
        <v>140</v>
      </c>
      <c r="G17" s="35" t="s">
        <v>99</v>
      </c>
      <c r="H17" s="3" t="s">
        <v>136</v>
      </c>
      <c r="I17" s="33" t="s">
        <v>141</v>
      </c>
      <c r="Q17" s="43">
        <f t="shared" si="0"/>
        <v>0</v>
      </c>
      <c r="R17" s="4">
        <f t="shared" si="1"/>
        <v>0</v>
      </c>
    </row>
    <row r="18" spans="6:21" s="33" customFormat="1" x14ac:dyDescent="0.25">
      <c r="F18" s="34" t="s">
        <v>142</v>
      </c>
      <c r="G18" s="35" t="s">
        <v>99</v>
      </c>
      <c r="H18" s="3" t="s">
        <v>143</v>
      </c>
      <c r="I18" s="3" t="s">
        <v>143</v>
      </c>
      <c r="Q18" s="43">
        <f t="shared" si="0"/>
        <v>0</v>
      </c>
      <c r="R18" s="4">
        <f t="shared" si="1"/>
        <v>0</v>
      </c>
    </row>
    <row r="19" spans="6:21" s="40" customFormat="1" x14ac:dyDescent="0.25">
      <c r="F19" s="38" t="s">
        <v>146</v>
      </c>
      <c r="G19" s="39" t="s">
        <v>99</v>
      </c>
      <c r="H19" s="12" t="s">
        <v>147</v>
      </c>
      <c r="I19" s="12" t="s">
        <v>147</v>
      </c>
      <c r="J19" s="40" t="s">
        <v>378</v>
      </c>
      <c r="K19" s="40" t="s">
        <v>74</v>
      </c>
      <c r="Q19" s="43">
        <f t="shared" si="0"/>
        <v>0</v>
      </c>
      <c r="R19" s="4">
        <f t="shared" si="1"/>
        <v>0</v>
      </c>
    </row>
    <row r="20" spans="6:21" s="36" customFormat="1" x14ac:dyDescent="0.25">
      <c r="F20" s="41" t="s">
        <v>59</v>
      </c>
      <c r="G20" s="42" t="s">
        <v>58</v>
      </c>
      <c r="H20" s="10" t="s">
        <v>150</v>
      </c>
      <c r="I20" s="28" t="s">
        <v>61</v>
      </c>
      <c r="Q20" s="4">
        <f t="shared" si="0"/>
        <v>0</v>
      </c>
      <c r="R20" s="4">
        <f t="shared" si="1"/>
        <v>0</v>
      </c>
    </row>
    <row r="21" spans="6:21" x14ac:dyDescent="0.25">
      <c r="F21" s="31" t="s">
        <v>152</v>
      </c>
      <c r="G21" s="43" t="s">
        <v>58</v>
      </c>
      <c r="H21" s="4" t="s">
        <v>150</v>
      </c>
      <c r="I21" s="5" t="s">
        <v>153</v>
      </c>
      <c r="Q21" s="4">
        <f t="shared" si="0"/>
        <v>0</v>
      </c>
      <c r="R21" s="4">
        <f t="shared" si="1"/>
        <v>0</v>
      </c>
    </row>
    <row r="22" spans="6:21" x14ac:dyDescent="0.25">
      <c r="F22" s="31" t="s">
        <v>155</v>
      </c>
      <c r="G22" s="43" t="s">
        <v>58</v>
      </c>
      <c r="H22" s="4" t="s">
        <v>150</v>
      </c>
      <c r="I22" s="5" t="s">
        <v>156</v>
      </c>
      <c r="Q22" s="4">
        <f t="shared" si="0"/>
        <v>0</v>
      </c>
      <c r="R22" s="4">
        <f t="shared" si="1"/>
        <v>0</v>
      </c>
    </row>
    <row r="23" spans="6:21" x14ac:dyDescent="0.25">
      <c r="F23" s="31" t="s">
        <v>64</v>
      </c>
      <c r="G23" s="43" t="s">
        <v>58</v>
      </c>
      <c r="H23" s="4" t="s">
        <v>150</v>
      </c>
      <c r="I23" s="5" t="s">
        <v>65</v>
      </c>
      <c r="Q23" s="4">
        <f t="shared" si="0"/>
        <v>0</v>
      </c>
      <c r="R23" s="4">
        <f t="shared" si="1"/>
        <v>0</v>
      </c>
    </row>
    <row r="24" spans="6:21" x14ac:dyDescent="0.25">
      <c r="F24" s="31" t="s">
        <v>67</v>
      </c>
      <c r="G24" s="43" t="s">
        <v>58</v>
      </c>
      <c r="H24" s="4" t="s">
        <v>150</v>
      </c>
      <c r="I24" s="5" t="s">
        <v>68</v>
      </c>
      <c r="Q24" s="4">
        <f t="shared" si="0"/>
        <v>0</v>
      </c>
      <c r="R24" s="4">
        <f t="shared" si="1"/>
        <v>0</v>
      </c>
    </row>
    <row r="25" spans="6:21" s="33" customFormat="1" x14ac:dyDescent="0.25">
      <c r="F25" s="34" t="s">
        <v>157</v>
      </c>
      <c r="G25" s="44" t="s">
        <v>58</v>
      </c>
      <c r="H25" s="33" t="s">
        <v>150</v>
      </c>
      <c r="I25" s="11" t="s">
        <v>379</v>
      </c>
      <c r="Q25" s="4">
        <f t="shared" si="0"/>
        <v>0</v>
      </c>
      <c r="R25" s="4">
        <f t="shared" si="1"/>
        <v>0</v>
      </c>
    </row>
    <row r="26" spans="6:21" s="36" customFormat="1" x14ac:dyDescent="0.25">
      <c r="F26" s="41" t="s">
        <v>380</v>
      </c>
      <c r="G26" s="42" t="s">
        <v>58</v>
      </c>
      <c r="H26" s="10" t="s">
        <v>163</v>
      </c>
      <c r="I26" s="28" t="s">
        <v>164</v>
      </c>
      <c r="K26" s="36" t="s">
        <v>103</v>
      </c>
      <c r="Q26" s="4">
        <f t="shared" si="0"/>
        <v>0</v>
      </c>
      <c r="R26" s="4">
        <f t="shared" si="1"/>
        <v>0</v>
      </c>
    </row>
    <row r="27" spans="6:21" x14ac:dyDescent="0.25">
      <c r="F27" s="31" t="s">
        <v>381</v>
      </c>
      <c r="G27" s="43" t="s">
        <v>58</v>
      </c>
      <c r="H27" s="4" t="s">
        <v>163</v>
      </c>
      <c r="I27" s="5" t="s">
        <v>167</v>
      </c>
      <c r="K27" s="4" t="s">
        <v>103</v>
      </c>
      <c r="Q27" s="4">
        <f t="shared" si="0"/>
        <v>0</v>
      </c>
      <c r="R27" s="4">
        <f t="shared" si="1"/>
        <v>0</v>
      </c>
      <c r="U27" s="4" t="s">
        <v>40</v>
      </c>
    </row>
    <row r="28" spans="6:21" x14ac:dyDescent="0.25">
      <c r="F28" s="31" t="s">
        <v>382</v>
      </c>
      <c r="G28" s="43" t="s">
        <v>58</v>
      </c>
      <c r="H28" s="4" t="s">
        <v>163</v>
      </c>
      <c r="I28" s="5" t="s">
        <v>170</v>
      </c>
      <c r="K28" s="4" t="s">
        <v>103</v>
      </c>
      <c r="Q28" s="4">
        <f t="shared" si="0"/>
        <v>0</v>
      </c>
      <c r="R28" s="4">
        <f t="shared" si="1"/>
        <v>0</v>
      </c>
    </row>
    <row r="29" spans="6:21" s="33" customFormat="1" x14ac:dyDescent="0.25">
      <c r="F29" s="34" t="s">
        <v>383</v>
      </c>
      <c r="G29" s="44" t="s">
        <v>58</v>
      </c>
      <c r="H29" s="33" t="s">
        <v>163</v>
      </c>
      <c r="I29" s="6" t="s">
        <v>172</v>
      </c>
      <c r="K29" s="33" t="s">
        <v>103</v>
      </c>
      <c r="Q29" s="4">
        <f t="shared" si="0"/>
        <v>0</v>
      </c>
      <c r="R29" s="4">
        <f t="shared" si="1"/>
        <v>0</v>
      </c>
    </row>
    <row r="30" spans="6:21" s="40" customFormat="1" ht="60" x14ac:dyDescent="0.25">
      <c r="F30" s="38" t="s">
        <v>384</v>
      </c>
      <c r="G30" s="45" t="s">
        <v>58</v>
      </c>
      <c r="H30" s="30" t="s">
        <v>176</v>
      </c>
      <c r="I30" s="30" t="s">
        <v>176</v>
      </c>
      <c r="J30" s="46" t="s">
        <v>337</v>
      </c>
      <c r="K30" s="40" t="s">
        <v>74</v>
      </c>
      <c r="Q30" s="4">
        <f t="shared" si="0"/>
        <v>0</v>
      </c>
      <c r="R30" s="4">
        <f t="shared" si="1"/>
        <v>0</v>
      </c>
    </row>
    <row r="31" spans="6:21" s="36" customFormat="1" ht="15" customHeight="1" x14ac:dyDescent="0.25">
      <c r="F31" s="41" t="s">
        <v>177</v>
      </c>
      <c r="G31" s="47" t="s">
        <v>70</v>
      </c>
      <c r="H31" s="10" t="s">
        <v>178</v>
      </c>
      <c r="I31" s="1" t="s">
        <v>179</v>
      </c>
      <c r="J31" s="36" t="s">
        <v>385</v>
      </c>
      <c r="K31" s="36" t="s">
        <v>63</v>
      </c>
      <c r="L31" s="36">
        <v>400</v>
      </c>
      <c r="N31" s="36">
        <v>1</v>
      </c>
      <c r="Q31" s="4">
        <f t="shared" si="0"/>
        <v>1</v>
      </c>
      <c r="R31" s="4">
        <f t="shared" si="1"/>
        <v>400</v>
      </c>
    </row>
    <row r="32" spans="6:21" x14ac:dyDescent="0.25">
      <c r="F32" s="31" t="s">
        <v>180</v>
      </c>
      <c r="G32" s="48" t="s">
        <v>70</v>
      </c>
      <c r="H32" s="4" t="s">
        <v>178</v>
      </c>
      <c r="I32" s="2" t="s">
        <v>181</v>
      </c>
      <c r="K32" s="4" t="s">
        <v>63</v>
      </c>
      <c r="L32" s="4">
        <v>150</v>
      </c>
      <c r="M32" s="4">
        <v>11</v>
      </c>
      <c r="N32" s="4">
        <v>4</v>
      </c>
      <c r="Q32" s="4">
        <f t="shared" si="0"/>
        <v>15</v>
      </c>
      <c r="R32" s="4">
        <f t="shared" si="1"/>
        <v>2250</v>
      </c>
    </row>
    <row r="33" spans="6:22" x14ac:dyDescent="0.25">
      <c r="F33" s="31" t="s">
        <v>182</v>
      </c>
      <c r="G33" s="48" t="s">
        <v>70</v>
      </c>
      <c r="H33" s="4" t="s">
        <v>178</v>
      </c>
      <c r="I33" s="2" t="s">
        <v>183</v>
      </c>
      <c r="J33" s="4" t="s">
        <v>386</v>
      </c>
      <c r="K33" s="4" t="s">
        <v>63</v>
      </c>
      <c r="L33" s="4">
        <v>150</v>
      </c>
      <c r="P33" s="4">
        <v>1</v>
      </c>
      <c r="Q33" s="4">
        <f t="shared" si="0"/>
        <v>1</v>
      </c>
      <c r="R33" s="4">
        <f t="shared" si="1"/>
        <v>150</v>
      </c>
      <c r="V33" s="57" t="s">
        <v>387</v>
      </c>
    </row>
    <row r="34" spans="6:22" x14ac:dyDescent="0.25">
      <c r="F34" s="31" t="s">
        <v>184</v>
      </c>
      <c r="G34" s="48" t="s">
        <v>70</v>
      </c>
      <c r="H34" s="4" t="s">
        <v>178</v>
      </c>
      <c r="I34" s="2" t="s">
        <v>185</v>
      </c>
      <c r="K34" s="4" t="s">
        <v>63</v>
      </c>
      <c r="L34" s="4">
        <v>100</v>
      </c>
      <c r="N34" s="4">
        <v>4</v>
      </c>
      <c r="Q34" s="4">
        <f t="shared" si="0"/>
        <v>4</v>
      </c>
      <c r="R34" s="4">
        <f t="shared" si="1"/>
        <v>400</v>
      </c>
    </row>
    <row r="35" spans="6:22" x14ac:dyDescent="0.25">
      <c r="F35" s="31" t="s">
        <v>186</v>
      </c>
      <c r="G35" s="48" t="s">
        <v>70</v>
      </c>
      <c r="H35" s="4" t="s">
        <v>178</v>
      </c>
      <c r="I35" s="2" t="s">
        <v>187</v>
      </c>
      <c r="K35" s="4" t="s">
        <v>63</v>
      </c>
      <c r="L35" s="4">
        <v>80</v>
      </c>
      <c r="M35" s="4">
        <v>11</v>
      </c>
      <c r="N35" s="4">
        <v>4</v>
      </c>
      <c r="Q35" s="4">
        <f t="shared" si="0"/>
        <v>15</v>
      </c>
      <c r="R35" s="4">
        <f t="shared" si="1"/>
        <v>1200</v>
      </c>
    </row>
    <row r="36" spans="6:22" x14ac:dyDescent="0.25">
      <c r="F36" s="31" t="s">
        <v>188</v>
      </c>
      <c r="G36" s="48" t="s">
        <v>70</v>
      </c>
      <c r="H36" s="4" t="s">
        <v>178</v>
      </c>
      <c r="I36" s="2" t="s">
        <v>189</v>
      </c>
      <c r="Q36" s="4">
        <f t="shared" si="0"/>
        <v>0</v>
      </c>
      <c r="R36" s="4">
        <f t="shared" si="1"/>
        <v>0</v>
      </c>
    </row>
    <row r="37" spans="6:22" x14ac:dyDescent="0.25">
      <c r="F37" s="31" t="s">
        <v>190</v>
      </c>
      <c r="G37" s="48" t="s">
        <v>70</v>
      </c>
      <c r="H37" s="4" t="s">
        <v>178</v>
      </c>
      <c r="I37" s="4" t="s">
        <v>191</v>
      </c>
      <c r="K37" s="4" t="s">
        <v>63</v>
      </c>
      <c r="L37" s="4">
        <v>70</v>
      </c>
      <c r="N37" s="4">
        <v>1</v>
      </c>
      <c r="O37" s="4">
        <v>1</v>
      </c>
      <c r="Q37" s="4">
        <f t="shared" si="0"/>
        <v>2</v>
      </c>
      <c r="R37" s="4">
        <f t="shared" si="1"/>
        <v>140</v>
      </c>
    </row>
    <row r="38" spans="6:22" x14ac:dyDescent="0.25">
      <c r="F38" s="31" t="s">
        <v>192</v>
      </c>
      <c r="G38" s="48" t="s">
        <v>70</v>
      </c>
      <c r="H38" s="9" t="s">
        <v>193</v>
      </c>
      <c r="I38" s="8" t="s">
        <v>194</v>
      </c>
      <c r="Q38" s="4">
        <f t="shared" si="0"/>
        <v>0</v>
      </c>
      <c r="R38" s="4">
        <f t="shared" si="1"/>
        <v>0</v>
      </c>
    </row>
    <row r="39" spans="6:22" x14ac:dyDescent="0.25">
      <c r="F39" s="31" t="s">
        <v>195</v>
      </c>
      <c r="G39" s="48" t="s">
        <v>70</v>
      </c>
      <c r="H39" s="4" t="s">
        <v>193</v>
      </c>
      <c r="I39" s="8" t="s">
        <v>196</v>
      </c>
      <c r="K39" s="4" t="s">
        <v>63</v>
      </c>
      <c r="N39" s="4">
        <v>1</v>
      </c>
      <c r="O39" s="4">
        <v>2</v>
      </c>
      <c r="Q39" s="4">
        <f t="shared" si="0"/>
        <v>3</v>
      </c>
      <c r="R39" s="4">
        <f t="shared" si="1"/>
        <v>0</v>
      </c>
    </row>
    <row r="40" spans="6:22" s="33" customFormat="1" x14ac:dyDescent="0.25">
      <c r="F40" s="34" t="s">
        <v>197</v>
      </c>
      <c r="G40" s="58" t="s">
        <v>70</v>
      </c>
      <c r="H40" s="59" t="s">
        <v>193</v>
      </c>
      <c r="I40" s="60" t="s">
        <v>198</v>
      </c>
      <c r="Q40" s="43">
        <f t="shared" si="0"/>
        <v>0</v>
      </c>
      <c r="R40" s="4">
        <f t="shared" si="1"/>
        <v>0</v>
      </c>
    </row>
    <row r="41" spans="6:22" s="36" customFormat="1" x14ac:dyDescent="0.25">
      <c r="F41" s="50" t="s">
        <v>199</v>
      </c>
      <c r="G41" s="47" t="s">
        <v>70</v>
      </c>
      <c r="H41" s="20" t="s">
        <v>200</v>
      </c>
      <c r="I41" s="21" t="s">
        <v>201</v>
      </c>
      <c r="J41" s="36" t="s">
        <v>388</v>
      </c>
      <c r="K41" s="36" t="s">
        <v>63</v>
      </c>
      <c r="L41" s="36">
        <v>3</v>
      </c>
      <c r="Q41" s="43">
        <v>20</v>
      </c>
      <c r="R41" s="4">
        <f t="shared" si="1"/>
        <v>60</v>
      </c>
    </row>
    <row r="42" spans="6:22" x14ac:dyDescent="0.25">
      <c r="F42" s="51" t="s">
        <v>199</v>
      </c>
      <c r="G42" s="48" t="s">
        <v>70</v>
      </c>
      <c r="H42" s="22" t="s">
        <v>200</v>
      </c>
      <c r="I42" s="23" t="s">
        <v>389</v>
      </c>
      <c r="J42" s="4" t="s">
        <v>390</v>
      </c>
      <c r="K42" s="4" t="s">
        <v>63</v>
      </c>
      <c r="L42" s="4">
        <v>3</v>
      </c>
      <c r="M42" s="4">
        <v>6</v>
      </c>
      <c r="N42" s="4">
        <v>6</v>
      </c>
      <c r="Q42" s="43">
        <f t="shared" si="0"/>
        <v>12</v>
      </c>
      <c r="R42" s="4">
        <f t="shared" si="1"/>
        <v>36</v>
      </c>
    </row>
    <row r="43" spans="6:22" s="33" customFormat="1" ht="90" x14ac:dyDescent="0.25">
      <c r="F43" s="52" t="s">
        <v>203</v>
      </c>
      <c r="G43" s="49" t="s">
        <v>70</v>
      </c>
      <c r="H43" s="24" t="s">
        <v>200</v>
      </c>
      <c r="I43" s="25" t="s">
        <v>204</v>
      </c>
      <c r="J43" s="61" t="s">
        <v>391</v>
      </c>
      <c r="K43" s="33" t="s">
        <v>74</v>
      </c>
      <c r="Q43" s="43">
        <v>1</v>
      </c>
      <c r="R43" s="4">
        <v>350</v>
      </c>
    </row>
    <row r="44" spans="6:22" s="36" customFormat="1" x14ac:dyDescent="0.25">
      <c r="F44" s="50" t="s">
        <v>205</v>
      </c>
      <c r="G44" s="47" t="s">
        <v>70</v>
      </c>
      <c r="H44" s="20" t="s">
        <v>206</v>
      </c>
      <c r="I44" s="20" t="s">
        <v>392</v>
      </c>
      <c r="J44" s="36" t="s">
        <v>393</v>
      </c>
      <c r="K44" s="36" t="s">
        <v>63</v>
      </c>
      <c r="L44" s="36">
        <v>20</v>
      </c>
      <c r="Q44" s="43">
        <f t="shared" si="0"/>
        <v>0</v>
      </c>
      <c r="R44" s="4">
        <f t="shared" si="1"/>
        <v>0</v>
      </c>
    </row>
    <row r="45" spans="6:22" s="33" customFormat="1" x14ac:dyDescent="0.25">
      <c r="F45" s="34" t="s">
        <v>208</v>
      </c>
      <c r="G45" s="49" t="s">
        <v>70</v>
      </c>
      <c r="H45" s="33" t="s">
        <v>206</v>
      </c>
      <c r="I45" s="6" t="s">
        <v>394</v>
      </c>
      <c r="J45" s="36" t="s">
        <v>393</v>
      </c>
      <c r="K45" s="33" t="s">
        <v>63</v>
      </c>
      <c r="L45" s="33">
        <v>20</v>
      </c>
      <c r="Q45" s="43">
        <f t="shared" si="0"/>
        <v>0</v>
      </c>
      <c r="R45" s="4">
        <f t="shared" si="1"/>
        <v>0</v>
      </c>
    </row>
    <row r="46" spans="6:22" s="36" customFormat="1" x14ac:dyDescent="0.25">
      <c r="F46" s="41" t="s">
        <v>395</v>
      </c>
      <c r="G46" s="47" t="s">
        <v>70</v>
      </c>
      <c r="H46" s="20" t="s">
        <v>396</v>
      </c>
      <c r="I46" s="20" t="s">
        <v>396</v>
      </c>
      <c r="Q46" s="43">
        <f t="shared" si="0"/>
        <v>0</v>
      </c>
      <c r="R46" s="4">
        <f t="shared" si="1"/>
        <v>0</v>
      </c>
    </row>
    <row r="47" spans="6:22" s="36" customFormat="1" x14ac:dyDescent="0.25">
      <c r="F47" s="41" t="s">
        <v>231</v>
      </c>
      <c r="G47" s="47" t="s">
        <v>70</v>
      </c>
      <c r="H47" s="10" t="s">
        <v>232</v>
      </c>
      <c r="I47" s="28" t="s">
        <v>233</v>
      </c>
      <c r="J47" s="36" t="s">
        <v>358</v>
      </c>
      <c r="K47" s="36" t="s">
        <v>74</v>
      </c>
      <c r="Q47" s="43">
        <f t="shared" si="0"/>
        <v>0</v>
      </c>
      <c r="R47" s="4">
        <f t="shared" si="1"/>
        <v>0</v>
      </c>
    </row>
    <row r="48" spans="6:22" ht="90" x14ac:dyDescent="0.25">
      <c r="F48" s="31" t="s">
        <v>234</v>
      </c>
      <c r="G48" s="48" t="s">
        <v>70</v>
      </c>
      <c r="H48" s="4" t="s">
        <v>232</v>
      </c>
      <c r="I48" s="5" t="s">
        <v>236</v>
      </c>
      <c r="J48" s="2" t="s">
        <v>359</v>
      </c>
      <c r="Q48" s="43">
        <f t="shared" si="0"/>
        <v>0</v>
      </c>
      <c r="R48" s="4">
        <f t="shared" si="1"/>
        <v>0</v>
      </c>
    </row>
    <row r="49" spans="6:18" x14ac:dyDescent="0.25">
      <c r="F49" s="31" t="s">
        <v>237</v>
      </c>
      <c r="G49" s="48" t="s">
        <v>70</v>
      </c>
      <c r="H49" s="4" t="s">
        <v>232</v>
      </c>
      <c r="I49" s="5" t="s">
        <v>238</v>
      </c>
      <c r="J49" s="4" t="s">
        <v>360</v>
      </c>
      <c r="Q49" s="43">
        <f t="shared" si="0"/>
        <v>0</v>
      </c>
      <c r="R49" s="4">
        <f t="shared" si="1"/>
        <v>0</v>
      </c>
    </row>
    <row r="50" spans="6:18" s="33" customFormat="1" x14ac:dyDescent="0.25">
      <c r="F50" s="34" t="s">
        <v>239</v>
      </c>
      <c r="G50" s="49" t="s">
        <v>70</v>
      </c>
      <c r="H50" s="33" t="s">
        <v>232</v>
      </c>
      <c r="I50" s="6" t="s">
        <v>240</v>
      </c>
      <c r="J50" s="33" t="s">
        <v>361</v>
      </c>
      <c r="K50" s="33" t="s">
        <v>74</v>
      </c>
      <c r="L50" s="33">
        <v>150</v>
      </c>
      <c r="Q50" s="43">
        <v>1</v>
      </c>
      <c r="R50" s="4">
        <f t="shared" si="1"/>
        <v>150</v>
      </c>
    </row>
    <row r="51" spans="6:18" s="36" customFormat="1" ht="60" x14ac:dyDescent="0.25">
      <c r="F51" s="41" t="s">
        <v>241</v>
      </c>
      <c r="G51" s="47" t="s">
        <v>70</v>
      </c>
      <c r="H51" s="10" t="s">
        <v>242</v>
      </c>
      <c r="I51" s="28" t="s">
        <v>243</v>
      </c>
      <c r="J51" s="1" t="s">
        <v>362</v>
      </c>
      <c r="K51" s="36" t="s">
        <v>74</v>
      </c>
      <c r="L51" s="36">
        <v>1200</v>
      </c>
      <c r="Q51" s="43">
        <v>1</v>
      </c>
      <c r="R51" s="4">
        <f t="shared" si="1"/>
        <v>1200</v>
      </c>
    </row>
    <row r="52" spans="6:18" x14ac:dyDescent="0.25">
      <c r="F52" s="31" t="s">
        <v>244</v>
      </c>
      <c r="G52" s="48" t="s">
        <v>70</v>
      </c>
      <c r="H52" s="4" t="s">
        <v>242</v>
      </c>
      <c r="I52" s="8" t="s">
        <v>245</v>
      </c>
      <c r="J52" s="4" t="s">
        <v>363</v>
      </c>
      <c r="K52" s="4" t="s">
        <v>74</v>
      </c>
      <c r="Q52" s="43">
        <f t="shared" si="0"/>
        <v>0</v>
      </c>
      <c r="R52" s="4">
        <f t="shared" si="1"/>
        <v>0</v>
      </c>
    </row>
    <row r="53" spans="6:18" s="33" customFormat="1" x14ac:dyDescent="0.25">
      <c r="F53" s="34" t="s">
        <v>246</v>
      </c>
      <c r="G53" s="49" t="s">
        <v>70</v>
      </c>
      <c r="H53" s="33" t="s">
        <v>242</v>
      </c>
      <c r="I53" s="11" t="s">
        <v>247</v>
      </c>
      <c r="J53" s="33" t="s">
        <v>364</v>
      </c>
      <c r="K53" s="33" t="s">
        <v>74</v>
      </c>
      <c r="Q53" s="43">
        <f t="shared" si="0"/>
        <v>0</v>
      </c>
      <c r="R53" s="4">
        <f t="shared" si="1"/>
        <v>0</v>
      </c>
    </row>
    <row r="54" spans="6:18" s="36" customFormat="1" x14ac:dyDescent="0.25">
      <c r="F54" s="41" t="s">
        <v>248</v>
      </c>
      <c r="G54" s="47" t="s">
        <v>70</v>
      </c>
      <c r="H54" s="10" t="s">
        <v>249</v>
      </c>
      <c r="I54" s="7" t="s">
        <v>250</v>
      </c>
      <c r="J54" s="36" t="s">
        <v>365</v>
      </c>
      <c r="K54" s="36" t="s">
        <v>74</v>
      </c>
      <c r="L54" s="36">
        <v>200</v>
      </c>
      <c r="Q54" s="43">
        <f t="shared" si="0"/>
        <v>0</v>
      </c>
      <c r="R54" s="4">
        <f t="shared" si="1"/>
        <v>0</v>
      </c>
    </row>
    <row r="55" spans="6:18" x14ac:dyDescent="0.25">
      <c r="F55" s="31" t="s">
        <v>251</v>
      </c>
      <c r="G55" s="48" t="s">
        <v>70</v>
      </c>
      <c r="H55" s="4" t="s">
        <v>249</v>
      </c>
      <c r="I55" s="8" t="s">
        <v>252</v>
      </c>
      <c r="J55" s="4" t="s">
        <v>366</v>
      </c>
      <c r="K55" s="4" t="s">
        <v>74</v>
      </c>
      <c r="Q55" s="43">
        <f t="shared" si="0"/>
        <v>0</v>
      </c>
      <c r="R55" s="4">
        <f t="shared" si="1"/>
        <v>0</v>
      </c>
    </row>
    <row r="56" spans="6:18" s="33" customFormat="1" x14ac:dyDescent="0.25">
      <c r="F56" s="34" t="s">
        <v>253</v>
      </c>
      <c r="G56" s="49" t="s">
        <v>70</v>
      </c>
      <c r="H56" s="33" t="s">
        <v>249</v>
      </c>
      <c r="I56" s="11" t="s">
        <v>254</v>
      </c>
      <c r="J56" s="33" t="s">
        <v>358</v>
      </c>
      <c r="K56" s="33" t="s">
        <v>74</v>
      </c>
      <c r="L56" s="33">
        <v>70</v>
      </c>
      <c r="Q56" s="43">
        <v>1</v>
      </c>
      <c r="R56" s="4">
        <f t="shared" si="1"/>
        <v>70</v>
      </c>
    </row>
    <row r="57" spans="6:18" s="40" customFormat="1" x14ac:dyDescent="0.25">
      <c r="F57" s="38" t="s">
        <v>255</v>
      </c>
      <c r="G57" s="53" t="s">
        <v>70</v>
      </c>
      <c r="H57" s="12" t="s">
        <v>256</v>
      </c>
      <c r="I57" s="13" t="s">
        <v>257</v>
      </c>
      <c r="J57" s="40" t="s">
        <v>358</v>
      </c>
      <c r="K57" s="40" t="s">
        <v>74</v>
      </c>
      <c r="L57" s="40">
        <v>150</v>
      </c>
      <c r="Q57" s="43">
        <v>1</v>
      </c>
      <c r="R57" s="4">
        <f t="shared" si="1"/>
        <v>150</v>
      </c>
    </row>
    <row r="58" spans="6:18" s="36" customFormat="1" x14ac:dyDescent="0.25">
      <c r="F58" s="54" t="s">
        <v>367</v>
      </c>
      <c r="G58" s="47" t="s">
        <v>70</v>
      </c>
      <c r="H58" s="14" t="s">
        <v>263</v>
      </c>
      <c r="I58" s="14" t="s">
        <v>368</v>
      </c>
      <c r="Q58" s="43">
        <f t="shared" si="0"/>
        <v>0</v>
      </c>
      <c r="R58" s="4">
        <f t="shared" si="1"/>
        <v>0</v>
      </c>
    </row>
    <row r="59" spans="6:18" s="33" customFormat="1" x14ac:dyDescent="0.25">
      <c r="F59" s="55" t="s">
        <v>262</v>
      </c>
      <c r="G59" s="49" t="s">
        <v>70</v>
      </c>
      <c r="H59" s="56" t="s">
        <v>263</v>
      </c>
      <c r="I59" s="15" t="s">
        <v>264</v>
      </c>
      <c r="Q59" s="43">
        <f t="shared" si="0"/>
        <v>0</v>
      </c>
      <c r="R59" s="4">
        <f t="shared" si="1"/>
        <v>0</v>
      </c>
    </row>
    <row r="60" spans="6:18" s="40" customFormat="1" x14ac:dyDescent="0.25">
      <c r="F60" s="38" t="s">
        <v>265</v>
      </c>
      <c r="G60" s="53" t="s">
        <v>70</v>
      </c>
      <c r="H60" s="12" t="s">
        <v>174</v>
      </c>
      <c r="I60" s="12" t="s">
        <v>174</v>
      </c>
      <c r="Q60" s="43">
        <f t="shared" si="0"/>
        <v>0</v>
      </c>
      <c r="R60" s="4">
        <f t="shared" si="1"/>
        <v>0</v>
      </c>
    </row>
    <row r="61" spans="6:18" ht="75" x14ac:dyDescent="0.25">
      <c r="F61" s="31" t="s">
        <v>266</v>
      </c>
      <c r="G61" s="48" t="s">
        <v>70</v>
      </c>
      <c r="H61" s="22" t="s">
        <v>176</v>
      </c>
      <c r="I61" s="22" t="s">
        <v>267</v>
      </c>
      <c r="J61" s="2" t="s">
        <v>372</v>
      </c>
      <c r="K61" s="4" t="s">
        <v>74</v>
      </c>
      <c r="Q61" s="43">
        <f t="shared" si="0"/>
        <v>0</v>
      </c>
      <c r="R61" s="4">
        <f t="shared" si="1"/>
        <v>0</v>
      </c>
    </row>
    <row r="62" spans="6:18" x14ac:dyDescent="0.25">
      <c r="F62" s="31"/>
    </row>
  </sheetData>
  <mergeCells count="3">
    <mergeCell ref="B1:E1"/>
    <mergeCell ref="M1:Q1"/>
    <mergeCell ref="S1:W1"/>
  </mergeCells>
  <phoneticPr fontId="3" type="noConversion"/>
  <hyperlinks>
    <hyperlink ref="V33" r:id="rId1" xr:uid="{C0B5EB48-369F-4702-96A3-904709A265A4}"/>
  </hyperlinks>
  <pageMargins left="0.7" right="0.7" top="0.78740157499999996" bottom="0.78740157499999996" header="0.3" footer="0.3"/>
  <pageSetup paperSize="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4E47B-DC03-4978-B3C8-BB09C1AA6FCF}">
  <sheetPr>
    <tabColor theme="8" tint="0.39997558519241921"/>
  </sheetPr>
  <dimension ref="A1:O24"/>
  <sheetViews>
    <sheetView workbookViewId="0">
      <selection activeCell="C22" sqref="C22"/>
    </sheetView>
  </sheetViews>
  <sheetFormatPr defaultRowHeight="14.25" x14ac:dyDescent="0.25"/>
  <cols>
    <col min="1" max="1" width="11.140625" style="232" customWidth="1"/>
    <col min="2" max="2" width="8.28515625" style="232" customWidth="1"/>
    <col min="3" max="3" width="45.7109375" style="232" customWidth="1"/>
    <col min="4" max="4" width="36.28515625" style="232" customWidth="1"/>
    <col min="5" max="5" width="15.42578125" style="232" bestFit="1" customWidth="1"/>
    <col min="6" max="6" width="23.140625" style="232" customWidth="1"/>
    <col min="7" max="7" width="9.140625" style="232"/>
    <col min="8" max="8" width="9.7109375" style="232" customWidth="1"/>
    <col min="9" max="9" width="19.42578125" style="232" customWidth="1"/>
    <col min="10" max="10" width="12.42578125" style="232" bestFit="1" customWidth="1"/>
    <col min="11" max="12" width="12.42578125" style="232" customWidth="1"/>
    <col min="13" max="13" width="46.85546875" style="232" customWidth="1"/>
    <col min="14" max="16384" width="9.140625" style="232"/>
  </cols>
  <sheetData>
    <row r="1" spans="1:15" ht="28.5" x14ac:dyDescent="0.25">
      <c r="A1" s="330" t="s">
        <v>42</v>
      </c>
      <c r="B1" s="330" t="s">
        <v>43</v>
      </c>
      <c r="C1" s="331" t="s">
        <v>44</v>
      </c>
      <c r="D1" s="331" t="s">
        <v>400</v>
      </c>
      <c r="E1" s="330" t="s">
        <v>46</v>
      </c>
      <c r="F1" s="331" t="s">
        <v>47</v>
      </c>
      <c r="G1" s="330" t="s">
        <v>48</v>
      </c>
      <c r="H1" s="331" t="s">
        <v>49</v>
      </c>
      <c r="I1" s="330" t="s">
        <v>50</v>
      </c>
      <c r="J1" s="330" t="s">
        <v>51</v>
      </c>
      <c r="K1" s="330" t="s">
        <v>52</v>
      </c>
      <c r="L1" s="330" t="s">
        <v>53</v>
      </c>
      <c r="M1" s="330" t="s">
        <v>54</v>
      </c>
    </row>
    <row r="2" spans="1:15" ht="43.5" thickBot="1" x14ac:dyDescent="0.3">
      <c r="A2" s="332" t="s">
        <v>55</v>
      </c>
      <c r="B2" s="330"/>
      <c r="C2" s="114"/>
      <c r="D2" s="114"/>
      <c r="E2" s="332" t="s">
        <v>56</v>
      </c>
      <c r="F2" s="332"/>
      <c r="G2" s="332" t="s">
        <v>406</v>
      </c>
      <c r="H2" s="332"/>
      <c r="I2" s="332" t="s">
        <v>57</v>
      </c>
      <c r="J2" s="332" t="s">
        <v>57</v>
      </c>
      <c r="K2" s="332" t="s">
        <v>57</v>
      </c>
      <c r="L2" s="332" t="s">
        <v>57</v>
      </c>
      <c r="M2" s="333"/>
    </row>
    <row r="3" spans="1:15" x14ac:dyDescent="0.25">
      <c r="A3" s="167" t="s">
        <v>58</v>
      </c>
      <c r="B3" s="141" t="s">
        <v>59</v>
      </c>
      <c r="C3" s="142" t="s">
        <v>60</v>
      </c>
      <c r="D3" s="143" t="s">
        <v>61</v>
      </c>
      <c r="E3" s="144" t="s">
        <v>62</v>
      </c>
      <c r="F3" s="129" t="s">
        <v>398</v>
      </c>
      <c r="G3" s="146" t="s">
        <v>63</v>
      </c>
      <c r="H3" s="122">
        <v>3</v>
      </c>
      <c r="I3" s="146"/>
      <c r="J3" s="146"/>
      <c r="K3" s="146"/>
      <c r="L3" s="146"/>
      <c r="M3" s="129"/>
    </row>
    <row r="4" spans="1:15" x14ac:dyDescent="0.25">
      <c r="A4" s="172" t="s">
        <v>58</v>
      </c>
      <c r="B4" s="126" t="s">
        <v>64</v>
      </c>
      <c r="C4" s="129" t="s">
        <v>60</v>
      </c>
      <c r="D4" s="119" t="s">
        <v>65</v>
      </c>
      <c r="E4" s="121" t="s">
        <v>62</v>
      </c>
      <c r="F4" s="129" t="s">
        <v>398</v>
      </c>
      <c r="G4" s="129" t="s">
        <v>63</v>
      </c>
      <c r="H4" s="122">
        <f>_xlfn.CEILING.MATH((12+10+10)*0.1,1)</f>
        <v>4</v>
      </c>
      <c r="I4" s="129"/>
      <c r="J4" s="129"/>
      <c r="K4" s="129"/>
      <c r="L4" s="129"/>
      <c r="M4" s="129" t="s">
        <v>66</v>
      </c>
    </row>
    <row r="5" spans="1:15" ht="15" thickBot="1" x14ac:dyDescent="0.3">
      <c r="A5" s="172" t="s">
        <v>58</v>
      </c>
      <c r="B5" s="126" t="s">
        <v>67</v>
      </c>
      <c r="C5" s="129" t="s">
        <v>60</v>
      </c>
      <c r="D5" s="119" t="s">
        <v>68</v>
      </c>
      <c r="E5" s="121" t="s">
        <v>62</v>
      </c>
      <c r="F5" s="129" t="s">
        <v>398</v>
      </c>
      <c r="G5" s="129" t="s">
        <v>63</v>
      </c>
      <c r="H5" s="122">
        <f>_xlfn.CEILING.MATH((0+2+2)*0.1,1)</f>
        <v>1</v>
      </c>
      <c r="I5" s="129"/>
      <c r="J5" s="129"/>
      <c r="K5" s="129"/>
      <c r="L5" s="129"/>
      <c r="M5" s="129" t="s">
        <v>66</v>
      </c>
    </row>
    <row r="6" spans="1:15" ht="15" thickBot="1" x14ac:dyDescent="0.3">
      <c r="A6" s="185" t="s">
        <v>58</v>
      </c>
      <c r="B6" s="163"/>
      <c r="C6" s="164" t="s">
        <v>69</v>
      </c>
      <c r="D6" s="164"/>
      <c r="E6" s="165"/>
      <c r="F6" s="164"/>
      <c r="G6" s="164"/>
      <c r="H6" s="164"/>
      <c r="I6" s="164"/>
      <c r="J6" s="164"/>
      <c r="K6" s="164"/>
      <c r="L6" s="352">
        <f>_xlfn.CEILING.MATH(SUBTOTAL(109,L3:L5),10)</f>
        <v>0</v>
      </c>
      <c r="M6" s="114"/>
      <c r="N6" s="114"/>
      <c r="O6" s="114"/>
    </row>
    <row r="7" spans="1:15" x14ac:dyDescent="0.25">
      <c r="A7" s="129"/>
      <c r="B7" s="119"/>
      <c r="C7" s="129"/>
      <c r="D7" s="129"/>
      <c r="E7" s="121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x14ac:dyDescent="0.25">
      <c r="A8" s="188" t="s">
        <v>70</v>
      </c>
      <c r="B8" s="353" t="s">
        <v>71</v>
      </c>
      <c r="C8" s="119" t="s">
        <v>72</v>
      </c>
      <c r="D8" s="119" t="s">
        <v>73</v>
      </c>
      <c r="E8" s="333" t="s">
        <v>62</v>
      </c>
      <c r="F8" s="111" t="s">
        <v>859</v>
      </c>
      <c r="G8" s="334" t="s">
        <v>74</v>
      </c>
      <c r="H8" s="122">
        <v>1</v>
      </c>
      <c r="I8" s="129"/>
      <c r="J8" s="129"/>
      <c r="K8" s="129"/>
      <c r="L8" s="129"/>
      <c r="M8" s="334"/>
    </row>
    <row r="9" spans="1:15" x14ac:dyDescent="0.25">
      <c r="A9" s="188" t="s">
        <v>70</v>
      </c>
      <c r="B9" s="353" t="s">
        <v>75</v>
      </c>
      <c r="C9" s="232" t="s">
        <v>72</v>
      </c>
      <c r="D9" s="232" t="s">
        <v>76</v>
      </c>
      <c r="E9" s="335" t="s">
        <v>62</v>
      </c>
      <c r="F9" s="111" t="s">
        <v>860</v>
      </c>
      <c r="G9" s="129" t="s">
        <v>74</v>
      </c>
      <c r="H9" s="122">
        <v>1</v>
      </c>
      <c r="I9" s="129"/>
      <c r="J9" s="129"/>
      <c r="K9" s="129"/>
      <c r="L9" s="129"/>
    </row>
    <row r="10" spans="1:15" x14ac:dyDescent="0.25">
      <c r="A10" s="188" t="s">
        <v>70</v>
      </c>
      <c r="B10" s="353" t="s">
        <v>77</v>
      </c>
      <c r="C10" s="232" t="s">
        <v>72</v>
      </c>
      <c r="D10" s="232" t="s">
        <v>78</v>
      </c>
      <c r="E10" s="335" t="s">
        <v>62</v>
      </c>
      <c r="F10" s="111" t="s">
        <v>861</v>
      </c>
      <c r="G10" s="129" t="s">
        <v>74</v>
      </c>
      <c r="H10" s="122">
        <v>4</v>
      </c>
      <c r="I10" s="129"/>
      <c r="J10" s="129"/>
      <c r="K10" s="129"/>
      <c r="L10" s="129"/>
    </row>
    <row r="11" spans="1:15" x14ac:dyDescent="0.25">
      <c r="A11" s="188" t="s">
        <v>70</v>
      </c>
      <c r="B11" s="354" t="s">
        <v>79</v>
      </c>
      <c r="C11" s="355" t="s">
        <v>72</v>
      </c>
      <c r="D11" s="355" t="s">
        <v>80</v>
      </c>
      <c r="E11" s="336" t="s">
        <v>62</v>
      </c>
      <c r="F11" s="337" t="s">
        <v>861</v>
      </c>
      <c r="G11" s="108" t="s">
        <v>74</v>
      </c>
      <c r="H11" s="317">
        <v>1</v>
      </c>
      <c r="I11" s="108"/>
      <c r="J11" s="108"/>
      <c r="K11" s="108"/>
      <c r="L11" s="108"/>
    </row>
    <row r="12" spans="1:15" x14ac:dyDescent="0.25">
      <c r="A12" s="188" t="s">
        <v>70</v>
      </c>
      <c r="B12" s="354" t="s">
        <v>81</v>
      </c>
      <c r="C12" s="355" t="s">
        <v>82</v>
      </c>
      <c r="D12" s="355" t="s">
        <v>83</v>
      </c>
      <c r="E12" s="336" t="s">
        <v>62</v>
      </c>
      <c r="F12" s="337" t="s">
        <v>862</v>
      </c>
      <c r="G12" s="108" t="s">
        <v>74</v>
      </c>
      <c r="H12" s="317">
        <v>1</v>
      </c>
      <c r="I12" s="108"/>
      <c r="J12" s="108"/>
      <c r="K12" s="108"/>
      <c r="L12" s="108"/>
    </row>
    <row r="13" spans="1:15" ht="15" thickBot="1" x14ac:dyDescent="0.3">
      <c r="A13" s="338" t="s">
        <v>70</v>
      </c>
      <c r="B13" s="116"/>
      <c r="C13" s="339" t="s">
        <v>84</v>
      </c>
      <c r="D13" s="339"/>
      <c r="E13" s="115" t="s">
        <v>62</v>
      </c>
      <c r="F13" s="340" t="s">
        <v>85</v>
      </c>
      <c r="G13" s="339" t="s">
        <v>74</v>
      </c>
      <c r="H13" s="341">
        <v>1</v>
      </c>
      <c r="I13" s="356"/>
      <c r="J13" s="339"/>
      <c r="K13" s="339"/>
      <c r="L13" s="357"/>
    </row>
    <row r="14" spans="1:15" ht="15" thickBot="1" x14ac:dyDescent="0.3">
      <c r="A14" s="342" t="s">
        <v>70</v>
      </c>
      <c r="B14" s="163"/>
      <c r="C14" s="164" t="s">
        <v>69</v>
      </c>
      <c r="D14" s="164"/>
      <c r="E14" s="165"/>
      <c r="F14" s="164"/>
      <c r="G14" s="164"/>
      <c r="H14" s="164"/>
      <c r="I14" s="164"/>
      <c r="J14" s="164"/>
      <c r="K14" s="164"/>
      <c r="L14" s="352">
        <f>_xlfn.CEILING.MATH(SUBTOTAL(109,L8:L13),10)</f>
        <v>0</v>
      </c>
    </row>
    <row r="15" spans="1:15" x14ac:dyDescent="0.25">
      <c r="M15" s="114"/>
      <c r="N15" s="114"/>
      <c r="O15" s="114"/>
    </row>
    <row r="16" spans="1:15" x14ac:dyDescent="0.25">
      <c r="A16" s="221" t="s">
        <v>86</v>
      </c>
      <c r="B16" s="159"/>
      <c r="C16" s="155" t="s">
        <v>87</v>
      </c>
      <c r="D16" s="155"/>
      <c r="E16" s="153" t="s">
        <v>62</v>
      </c>
      <c r="F16" s="155"/>
      <c r="G16" s="155" t="s">
        <v>74</v>
      </c>
      <c r="H16" s="155">
        <v>1</v>
      </c>
      <c r="I16" s="155"/>
      <c r="J16" s="155"/>
      <c r="K16" s="155"/>
      <c r="L16" s="155"/>
      <c r="M16" s="129"/>
      <c r="N16" s="129"/>
      <c r="O16" s="129"/>
    </row>
    <row r="17" spans="1:15" ht="15" thickBot="1" x14ac:dyDescent="0.3">
      <c r="A17" s="350" t="s">
        <v>86</v>
      </c>
      <c r="B17" s="119" t="s">
        <v>88</v>
      </c>
      <c r="C17" s="129" t="s">
        <v>89</v>
      </c>
      <c r="D17" s="129" t="s">
        <v>89</v>
      </c>
      <c r="E17" s="121" t="s">
        <v>62</v>
      </c>
      <c r="F17" s="108" t="s">
        <v>90</v>
      </c>
      <c r="G17" s="129" t="s">
        <v>91</v>
      </c>
      <c r="H17" s="129">
        <v>6</v>
      </c>
      <c r="I17" s="129"/>
      <c r="J17" s="155"/>
      <c r="K17" s="129"/>
      <c r="L17" s="155"/>
      <c r="M17" s="129"/>
      <c r="N17" s="129"/>
      <c r="O17" s="129"/>
    </row>
    <row r="18" spans="1:15" ht="15" thickBot="1" x14ac:dyDescent="0.3">
      <c r="A18" s="224" t="s">
        <v>86</v>
      </c>
      <c r="B18" s="163"/>
      <c r="C18" s="164" t="s">
        <v>69</v>
      </c>
      <c r="D18" s="164"/>
      <c r="E18" s="165"/>
      <c r="F18" s="164"/>
      <c r="G18" s="164"/>
      <c r="H18" s="164"/>
      <c r="I18" s="164"/>
      <c r="J18" s="164"/>
      <c r="K18" s="164"/>
      <c r="L18" s="352">
        <f>_xlfn.CEILING.MATH(SUM(L16,L17),10)</f>
        <v>0</v>
      </c>
      <c r="M18" s="114"/>
      <c r="N18" s="114"/>
      <c r="O18" s="114"/>
    </row>
    <row r="19" spans="1:15" ht="15" thickBot="1" x14ac:dyDescent="0.3">
      <c r="M19" s="114"/>
      <c r="N19" s="114"/>
      <c r="O19" s="114"/>
    </row>
    <row r="20" spans="1:15" ht="15" thickBot="1" x14ac:dyDescent="0.3">
      <c r="A20" s="358" t="s">
        <v>10</v>
      </c>
      <c r="B20" s="359"/>
      <c r="C20" s="359"/>
      <c r="D20" s="359"/>
      <c r="E20" s="359"/>
      <c r="F20" s="359"/>
      <c r="G20" s="359"/>
      <c r="H20" s="359"/>
      <c r="I20" s="359"/>
      <c r="J20" s="359"/>
      <c r="K20" s="359"/>
      <c r="L20" s="360">
        <f>(L6+L14+L18)</f>
        <v>0</v>
      </c>
      <c r="M20" s="129"/>
      <c r="N20" s="129"/>
      <c r="O20" s="129"/>
    </row>
    <row r="21" spans="1:15" ht="15" thickBot="1" x14ac:dyDescent="0.3">
      <c r="A21" s="129"/>
      <c r="B21" s="119"/>
      <c r="C21" s="129"/>
      <c r="D21" s="129"/>
      <c r="E21" s="121"/>
      <c r="F21" s="129"/>
      <c r="G21" s="129"/>
      <c r="H21" s="129"/>
      <c r="I21" s="129"/>
      <c r="J21" s="129"/>
      <c r="K21" s="129"/>
      <c r="L21" s="129"/>
      <c r="M21" s="114"/>
      <c r="N21" s="114"/>
      <c r="O21" s="114"/>
    </row>
    <row r="22" spans="1:15" ht="15" thickBot="1" x14ac:dyDescent="0.3">
      <c r="A22" s="361"/>
      <c r="B22" s="227"/>
      <c r="C22" s="217" t="s">
        <v>866</v>
      </c>
      <c r="D22" s="217"/>
      <c r="E22" s="228"/>
      <c r="F22" s="217"/>
      <c r="G22" s="217"/>
      <c r="H22" s="217"/>
      <c r="I22" s="217"/>
      <c r="J22" s="217"/>
      <c r="K22" s="217"/>
      <c r="L22" s="362">
        <f>'SOUHRN A KONSTANTY'!$P$4</f>
        <v>0</v>
      </c>
      <c r="M22" s="129"/>
      <c r="N22" s="129"/>
      <c r="O22" s="129"/>
    </row>
    <row r="23" spans="1:15" ht="15" thickBot="1" x14ac:dyDescent="0.3">
      <c r="A23" s="161"/>
      <c r="B23" s="119"/>
      <c r="C23" s="129"/>
      <c r="D23" s="129"/>
      <c r="E23" s="121"/>
      <c r="F23" s="129"/>
      <c r="G23" s="129"/>
      <c r="H23" s="129"/>
      <c r="I23" s="129"/>
      <c r="J23" s="129"/>
      <c r="K23" s="129"/>
      <c r="L23" s="129"/>
      <c r="M23" s="114"/>
      <c r="N23" s="114"/>
      <c r="O23" s="114"/>
    </row>
    <row r="24" spans="1:15" ht="15" thickBot="1" x14ac:dyDescent="0.3">
      <c r="A24" s="358" t="s">
        <v>92</v>
      </c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60">
        <f>L20*(1+L22)</f>
        <v>0</v>
      </c>
    </row>
  </sheetData>
  <conditionalFormatting sqref="E3:E6">
    <cfRule type="cellIs" dxfId="398" priority="11" operator="equal">
      <formula>"ne"</formula>
    </cfRule>
  </conditionalFormatting>
  <conditionalFormatting sqref="E8">
    <cfRule type="cellIs" dxfId="397" priority="21" operator="equal">
      <formula>"ne"</formula>
    </cfRule>
  </conditionalFormatting>
  <conditionalFormatting sqref="E14">
    <cfRule type="cellIs" dxfId="396" priority="8" operator="equal">
      <formula>"ne"</formula>
    </cfRule>
  </conditionalFormatting>
  <conditionalFormatting sqref="E18">
    <cfRule type="cellIs" dxfId="395" priority="5" operator="equal">
      <formula>"ne"</formula>
    </cfRule>
  </conditionalFormatting>
  <conditionalFormatting sqref="H6:K6">
    <cfRule type="cellIs" dxfId="394" priority="9" operator="between">
      <formula>0.0001</formula>
      <formula>1000</formula>
    </cfRule>
    <cfRule type="cellIs" dxfId="393" priority="10" operator="equal">
      <formula>"-"</formula>
    </cfRule>
  </conditionalFormatting>
  <conditionalFormatting sqref="H14:K14">
    <cfRule type="cellIs" dxfId="392" priority="6" operator="between">
      <formula>0.0001</formula>
      <formula>1000</formula>
    </cfRule>
    <cfRule type="cellIs" dxfId="391" priority="7" operator="equal">
      <formula>"-"</formula>
    </cfRule>
  </conditionalFormatting>
  <conditionalFormatting sqref="H18:K18">
    <cfRule type="cellIs" dxfId="390" priority="3" operator="between">
      <formula>0.0001</formula>
      <formula>1000</formula>
    </cfRule>
    <cfRule type="cellIs" dxfId="389" priority="4" operator="equal">
      <formula>"-"</formula>
    </cfRule>
  </conditionalFormatting>
  <conditionalFormatting sqref="E13">
    <cfRule type="cellIs" dxfId="388" priority="2" operator="equal">
      <formula>"ne"</formula>
    </cfRule>
  </conditionalFormatting>
  <conditionalFormatting sqref="H13">
    <cfRule type="cellIs" dxfId="387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299EC-4522-49E9-B60D-552D4164DA65}">
  <sheetPr>
    <tabColor theme="9" tint="0.39997558519241921"/>
  </sheetPr>
  <dimension ref="A1:Q102"/>
  <sheetViews>
    <sheetView zoomScale="80" zoomScaleNormal="80" workbookViewId="0">
      <pane xSplit="2" ySplit="2" topLeftCell="C61" activePane="bottomRight" state="frozen"/>
      <selection activeCell="P4" sqref="A1:XFD1048576"/>
      <selection pane="topRight" activeCell="P4" sqref="A1:XFD1048576"/>
      <selection pane="bottomLeft" activeCell="P4" sqref="A1:XFD1048576"/>
      <selection pane="bottomRigh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5.42578125" style="121" bestFit="1" customWidth="1"/>
    <col min="6" max="6" width="23.140625" style="129" customWidth="1"/>
    <col min="7" max="7" width="15" style="129" customWidth="1"/>
    <col min="8" max="12" width="8.5703125" style="129" customWidth="1"/>
    <col min="13" max="13" width="19.425781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46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19" t="s">
        <v>818</v>
      </c>
      <c r="G3" s="119" t="s">
        <v>103</v>
      </c>
      <c r="H3" s="122">
        <f>6+7+24+18</f>
        <v>55</v>
      </c>
      <c r="I3" s="122"/>
      <c r="J3" s="122"/>
      <c r="K3" s="122">
        <f>180+65</f>
        <v>245</v>
      </c>
      <c r="L3" s="123">
        <f t="shared" ref="L3:L17" si="0">IF($E3="ne","-",H3+I3+J3+K3)</f>
        <v>300</v>
      </c>
      <c r="M3" s="124"/>
      <c r="N3" s="124"/>
      <c r="O3" s="124"/>
      <c r="P3" s="124">
        <f t="shared" ref="P3:P23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29" t="s">
        <v>819</v>
      </c>
      <c r="G4" s="129" t="s">
        <v>103</v>
      </c>
      <c r="H4" s="122">
        <f>18+26</f>
        <v>44</v>
      </c>
      <c r="I4" s="122">
        <f>IF($E4="ne","-",)</f>
        <v>0</v>
      </c>
      <c r="J4" s="122">
        <f>IF($E4="ne","-",)</f>
        <v>0</v>
      </c>
      <c r="K4" s="122">
        <f>IF($E4="ne","-",)</f>
        <v>0</v>
      </c>
      <c r="L4" s="123">
        <f t="shared" si="0"/>
        <v>44</v>
      </c>
      <c r="M4" s="124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62</v>
      </c>
      <c r="F5" s="129" t="s">
        <v>820</v>
      </c>
      <c r="G5" s="129" t="s">
        <v>103</v>
      </c>
      <c r="H5" s="122">
        <v>0</v>
      </c>
      <c r="I5" s="122">
        <f>IF($E5="ne","-",)</f>
        <v>0</v>
      </c>
      <c r="J5" s="122">
        <f>IF($E5="ne","-",)</f>
        <v>0</v>
      </c>
      <c r="K5" s="122">
        <v>19</v>
      </c>
      <c r="L5" s="123">
        <f t="shared" si="0"/>
        <v>19</v>
      </c>
      <c r="M5" s="124"/>
      <c r="N5" s="124"/>
      <c r="O5" s="124"/>
      <c r="P5" s="124">
        <f t="shared" si="1"/>
        <v>0</v>
      </c>
      <c r="Q5" s="129" t="s">
        <v>108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29" t="s">
        <v>821</v>
      </c>
      <c r="G6" s="129" t="s">
        <v>103</v>
      </c>
      <c r="H6" s="122">
        <v>0</v>
      </c>
      <c r="I6" s="122">
        <f t="shared" ref="I6:K26" si="2">IF($E6="ne","-",)</f>
        <v>0</v>
      </c>
      <c r="J6" s="122">
        <v>6</v>
      </c>
      <c r="K6" s="122">
        <f>IF($E6="ne","-",)</f>
        <v>0</v>
      </c>
      <c r="L6" s="123">
        <f t="shared" si="0"/>
        <v>6</v>
      </c>
      <c r="M6" s="130"/>
      <c r="N6" s="130"/>
      <c r="O6" s="130"/>
      <c r="P6" s="130">
        <f t="shared" si="1"/>
        <v>0</v>
      </c>
    </row>
    <row r="7" spans="1:17" ht="15.75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29" t="s">
        <v>822</v>
      </c>
      <c r="G7" s="129" t="s">
        <v>103</v>
      </c>
      <c r="H7" s="122">
        <f>73+163+166</f>
        <v>402</v>
      </c>
      <c r="I7" s="122">
        <f t="shared" si="2"/>
        <v>0</v>
      </c>
      <c r="J7" s="122">
        <f t="shared" si="2"/>
        <v>0</v>
      </c>
      <c r="K7" s="122">
        <f>IF($E7="ne","-",)</f>
        <v>0</v>
      </c>
      <c r="L7" s="123">
        <f t="shared" si="0"/>
        <v>402</v>
      </c>
      <c r="M7" s="130"/>
      <c r="N7" s="130"/>
      <c r="O7" s="130"/>
      <c r="P7" s="130">
        <f t="shared" si="1"/>
        <v>0</v>
      </c>
      <c r="Q7" s="129" t="s">
        <v>111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>
        <v>0</v>
      </c>
      <c r="I8" s="122" t="str">
        <f t="shared" si="2"/>
        <v>-</v>
      </c>
      <c r="J8" s="122" t="str">
        <f t="shared" si="2"/>
        <v>-</v>
      </c>
      <c r="K8" s="122" t="str">
        <f>IF($E8="ne","-",)</f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29" t="s">
        <v>823</v>
      </c>
      <c r="G9" s="129" t="s">
        <v>103</v>
      </c>
      <c r="H9" s="122">
        <f>4+10</f>
        <v>14</v>
      </c>
      <c r="I9" s="122">
        <f t="shared" si="2"/>
        <v>0</v>
      </c>
      <c r="J9" s="122">
        <f t="shared" si="2"/>
        <v>0</v>
      </c>
      <c r="K9" s="122">
        <f>IF($E9="ne","-",)</f>
        <v>0</v>
      </c>
      <c r="L9" s="123">
        <f t="shared" si="0"/>
        <v>14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>IF($E10="ne","-",)</f>
        <v>-</v>
      </c>
      <c r="I10" s="122" t="str">
        <f t="shared" si="2"/>
        <v>-</v>
      </c>
      <c r="J10" s="122" t="str">
        <f t="shared" si="2"/>
        <v>-</v>
      </c>
      <c r="K10" s="122" t="str">
        <f>IF($E10="ne","-",)</f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29" t="s">
        <v>824</v>
      </c>
      <c r="G11" s="129" t="s">
        <v>103</v>
      </c>
      <c r="H11" s="122">
        <f>IF($E11="ne","-",)</f>
        <v>0</v>
      </c>
      <c r="I11" s="122">
        <f t="shared" si="2"/>
        <v>0</v>
      </c>
      <c r="J11" s="122">
        <f t="shared" si="2"/>
        <v>0</v>
      </c>
      <c r="K11" s="122">
        <v>219</v>
      </c>
      <c r="L11" s="123">
        <f t="shared" si="0"/>
        <v>219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28"/>
      <c r="G12" s="129" t="s">
        <v>74</v>
      </c>
      <c r="H12" s="122" t="str">
        <f>IF($E12="ne","-",)</f>
        <v>-</v>
      </c>
      <c r="I12" s="122" t="str">
        <f t="shared" si="2"/>
        <v>-</v>
      </c>
      <c r="J12" s="122" t="str">
        <f t="shared" si="2"/>
        <v>-</v>
      </c>
      <c r="K12" s="122" t="str">
        <f t="shared" si="2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>IF($E13="ne","-",)</f>
        <v>-</v>
      </c>
      <c r="I13" s="122" t="str">
        <f t="shared" si="2"/>
        <v>-</v>
      </c>
      <c r="J13" s="122" t="str">
        <f t="shared" si="2"/>
        <v>-</v>
      </c>
      <c r="K13" s="122" t="str">
        <f t="shared" si="2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29" t="s">
        <v>825</v>
      </c>
      <c r="G14" s="129" t="s">
        <v>74</v>
      </c>
      <c r="H14" s="122">
        <v>1</v>
      </c>
      <c r="I14" s="122">
        <f t="shared" si="2"/>
        <v>0</v>
      </c>
      <c r="J14" s="122">
        <f t="shared" si="2"/>
        <v>0</v>
      </c>
      <c r="K14" s="122">
        <f t="shared" si="2"/>
        <v>0</v>
      </c>
      <c r="L14" s="123">
        <f t="shared" si="0"/>
        <v>1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>IF($E15="ne","-",)</f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F16" s="149"/>
      <c r="G16" s="134" t="s">
        <v>103</v>
      </c>
      <c r="H16" s="137" t="str">
        <f>IF($E16="ne","-",)</f>
        <v>-</v>
      </c>
      <c r="I16" s="137" t="str">
        <f t="shared" si="2"/>
        <v>-</v>
      </c>
      <c r="J16" s="137" t="str">
        <f t="shared" si="2"/>
        <v>-</v>
      </c>
      <c r="K16" s="137" t="str">
        <f t="shared" si="2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>IF($E17="ne","-",)</f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4" t="s">
        <v>826</v>
      </c>
      <c r="G18" s="134" t="s">
        <v>74</v>
      </c>
      <c r="H18" s="326">
        <v>4</v>
      </c>
      <c r="I18" s="137">
        <f t="shared" si="2"/>
        <v>0</v>
      </c>
      <c r="J18" s="137">
        <f t="shared" si="2"/>
        <v>0</v>
      </c>
      <c r="K18" s="137">
        <f t="shared" si="2"/>
        <v>0</v>
      </c>
      <c r="L18" s="138">
        <v>1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>IF($E19="ne","-",)</f>
        <v>-</v>
      </c>
      <c r="I19" s="122" t="str">
        <f t="shared" si="2"/>
        <v>-</v>
      </c>
      <c r="J19" s="122">
        <v>0</v>
      </c>
      <c r="K19" s="122">
        <v>0</v>
      </c>
      <c r="L19" s="123" t="str">
        <f>IF($E19="ne","-",H19+I19+J19+K19)</f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827</v>
      </c>
      <c r="G20" s="129" t="s">
        <v>63</v>
      </c>
      <c r="H20" s="122">
        <v>1</v>
      </c>
      <c r="I20" s="122">
        <f t="shared" si="2"/>
        <v>0</v>
      </c>
      <c r="J20" s="122">
        <f t="shared" si="2"/>
        <v>0</v>
      </c>
      <c r="K20" s="122">
        <f t="shared" si="2"/>
        <v>0</v>
      </c>
      <c r="L20" s="123">
        <f>IF($E20="ne","-",H20+I20+J20+K20)</f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>IF($E21="ne","-",)</f>
        <v>-</v>
      </c>
      <c r="I21" s="122" t="str">
        <f t="shared" si="2"/>
        <v>-</v>
      </c>
      <c r="J21" s="122" t="str">
        <f t="shared" si="2"/>
        <v>-</v>
      </c>
      <c r="K21" s="122" t="str">
        <f t="shared" si="2"/>
        <v>-</v>
      </c>
      <c r="L21" s="138" t="str">
        <f>IF($E21="ne","-",H21+I21+J21+K21)</f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113</v>
      </c>
      <c r="F22" s="154"/>
      <c r="G22" s="155" t="s">
        <v>74</v>
      </c>
      <c r="H22" s="156" t="str">
        <f>IF($E22="ne","-",)</f>
        <v>-</v>
      </c>
      <c r="I22" s="156" t="str">
        <f t="shared" si="2"/>
        <v>-</v>
      </c>
      <c r="J22" s="156" t="str">
        <f t="shared" si="2"/>
        <v>-</v>
      </c>
      <c r="K22" s="156" t="str">
        <f t="shared" si="2"/>
        <v>-</v>
      </c>
      <c r="L22" s="138" t="str">
        <f>IF($E22="ne","-",H22+I22+J22+K22)</f>
        <v>-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828</v>
      </c>
      <c r="G23" s="155" t="s">
        <v>74</v>
      </c>
      <c r="H23" s="156">
        <f>IF($E23="ne","-",)</f>
        <v>0</v>
      </c>
      <c r="I23" s="156">
        <f t="shared" si="2"/>
        <v>0</v>
      </c>
      <c r="J23" s="156">
        <f t="shared" si="2"/>
        <v>0</v>
      </c>
      <c r="K23" s="156">
        <f t="shared" si="2"/>
        <v>0</v>
      </c>
      <c r="L23" s="138">
        <v>1</v>
      </c>
      <c r="M23" s="157"/>
      <c r="N23" s="157"/>
      <c r="O23" s="157"/>
      <c r="P23" s="157">
        <f t="shared" si="1"/>
        <v>0</v>
      </c>
      <c r="Q23" s="155" t="s">
        <v>148</v>
      </c>
    </row>
    <row r="24" spans="1:17" s="155" customFormat="1" ht="42.7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F25" s="208"/>
      <c r="G25" s="155" t="s">
        <v>74</v>
      </c>
      <c r="H25" s="155">
        <v>1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1</v>
      </c>
      <c r="M25" s="157"/>
      <c r="N25" s="157"/>
      <c r="O25" s="157"/>
      <c r="P25" s="157">
        <f>IFERROR(N25+O25,"-")</f>
        <v>0</v>
      </c>
      <c r="Q25" s="155" t="s">
        <v>145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149</v>
      </c>
      <c r="G26" s="129" t="s">
        <v>74</v>
      </c>
      <c r="I26" s="129">
        <f t="shared" si="2"/>
        <v>0</v>
      </c>
      <c r="J26" s="129">
        <f t="shared" si="2"/>
        <v>0</v>
      </c>
      <c r="K26" s="129">
        <f t="shared" si="2"/>
        <v>0</v>
      </c>
      <c r="L26" s="123">
        <v>1</v>
      </c>
      <c r="M26" s="349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21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46" t="s">
        <v>829</v>
      </c>
      <c r="G29" s="146" t="s">
        <v>74</v>
      </c>
      <c r="H29" s="327">
        <v>4</v>
      </c>
      <c r="I29" s="187">
        <f t="shared" ref="I29:K39" si="3">IF($E29="ne","-",)</f>
        <v>0</v>
      </c>
      <c r="J29" s="187">
        <f t="shared" si="3"/>
        <v>0</v>
      </c>
      <c r="K29" s="187">
        <f t="shared" si="3"/>
        <v>0</v>
      </c>
      <c r="L29" s="184">
        <v>4</v>
      </c>
      <c r="P29" s="146">
        <f t="shared" ref="P29:P41" si="4">IFERROR(N29+O29,"-")</f>
        <v>0</v>
      </c>
      <c r="Q29" s="146" t="s">
        <v>151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G30" s="129" t="s">
        <v>63</v>
      </c>
      <c r="H30" s="122" t="s">
        <v>154</v>
      </c>
      <c r="I30" s="122" t="str">
        <f t="shared" si="3"/>
        <v>-</v>
      </c>
      <c r="J30" s="122" t="str">
        <f t="shared" si="3"/>
        <v>-</v>
      </c>
      <c r="K30" s="122" t="str">
        <f t="shared" si="3"/>
        <v>-</v>
      </c>
      <c r="L30" s="123" t="str">
        <f t="shared" ref="L30:L38" si="5">IF($E30="ne","-",H30+I30+J30+K30)</f>
        <v>-</v>
      </c>
      <c r="P30" s="129">
        <f t="shared" si="4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22" t="str">
        <f>IF($E31="ne","-",)</f>
        <v>-</v>
      </c>
      <c r="I31" s="122" t="str">
        <f t="shared" si="3"/>
        <v>-</v>
      </c>
      <c r="J31" s="122" t="str">
        <f t="shared" si="3"/>
        <v>-</v>
      </c>
      <c r="K31" s="122" t="str">
        <f t="shared" si="3"/>
        <v>-</v>
      </c>
      <c r="L31" s="123" t="str">
        <f t="shared" si="5"/>
        <v>-</v>
      </c>
      <c r="P31" s="129">
        <f t="shared" si="4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>IF($E32="ne","-",)</f>
        <v>-</v>
      </c>
      <c r="I32" s="122" t="str">
        <f t="shared" si="3"/>
        <v>-</v>
      </c>
      <c r="J32" s="122" t="str">
        <f t="shared" si="3"/>
        <v>-</v>
      </c>
      <c r="K32" s="122" t="str">
        <f t="shared" si="3"/>
        <v>-</v>
      </c>
      <c r="L32" s="123" t="str">
        <f t="shared" si="5"/>
        <v>-</v>
      </c>
      <c r="P32" s="129">
        <f t="shared" si="4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>IF($E33="ne","-",)</f>
        <v>-</v>
      </c>
      <c r="I33" s="122" t="str">
        <f t="shared" si="3"/>
        <v>-</v>
      </c>
      <c r="J33" s="122" t="str">
        <f t="shared" si="3"/>
        <v>-</v>
      </c>
      <c r="K33" s="122" t="str">
        <f t="shared" si="3"/>
        <v>-</v>
      </c>
      <c r="L33" s="123" t="str">
        <f t="shared" si="5"/>
        <v>-</v>
      </c>
      <c r="P33" s="129">
        <f t="shared" si="4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4" t="s">
        <v>830</v>
      </c>
      <c r="G34" s="134" t="s">
        <v>63</v>
      </c>
      <c r="H34" s="122">
        <v>2</v>
      </c>
      <c r="I34" s="122">
        <f t="shared" si="3"/>
        <v>0</v>
      </c>
      <c r="J34" s="122">
        <f t="shared" si="3"/>
        <v>0</v>
      </c>
      <c r="K34" s="122">
        <f t="shared" si="3"/>
        <v>0</v>
      </c>
      <c r="L34" s="138">
        <f t="shared" si="5"/>
        <v>2</v>
      </c>
      <c r="P34" s="134">
        <f t="shared" si="4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155" t="s">
        <v>831</v>
      </c>
      <c r="G35" s="155" t="s">
        <v>63</v>
      </c>
      <c r="H35" s="156">
        <v>2</v>
      </c>
      <c r="I35" s="156">
        <f t="shared" si="3"/>
        <v>0</v>
      </c>
      <c r="J35" s="156">
        <f t="shared" si="3"/>
        <v>0</v>
      </c>
      <c r="K35" s="156">
        <f t="shared" si="3"/>
        <v>0</v>
      </c>
      <c r="L35" s="138">
        <f t="shared" si="5"/>
        <v>2</v>
      </c>
      <c r="P35" s="155">
        <f t="shared" si="4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29" t="s">
        <v>832</v>
      </c>
      <c r="G36" s="129" t="s">
        <v>74</v>
      </c>
      <c r="H36" s="122">
        <f>2*(6+2+2+2+5+7+3+7)</f>
        <v>68</v>
      </c>
      <c r="I36" s="122">
        <f t="shared" si="3"/>
        <v>0</v>
      </c>
      <c r="J36" s="122">
        <f t="shared" si="3"/>
        <v>0</v>
      </c>
      <c r="K36" s="122">
        <f t="shared" si="3"/>
        <v>0</v>
      </c>
      <c r="L36" s="123">
        <v>8</v>
      </c>
      <c r="P36" s="129">
        <f t="shared" si="4"/>
        <v>0</v>
      </c>
      <c r="Q36" s="129" t="s">
        <v>165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">
        <v>168</v>
      </c>
      <c r="I37" s="122" t="str">
        <f t="shared" si="3"/>
        <v>-</v>
      </c>
      <c r="J37" s="122" t="str">
        <f t="shared" si="3"/>
        <v>-</v>
      </c>
      <c r="K37" s="122" t="str">
        <f t="shared" si="3"/>
        <v>-</v>
      </c>
      <c r="L37" s="123" t="str">
        <f t="shared" si="5"/>
        <v>-</v>
      </c>
      <c r="P37" s="129">
        <f t="shared" si="4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22" t="str">
        <f>IF($E38="ne","-",)</f>
        <v>-</v>
      </c>
      <c r="I38" s="122" t="str">
        <f t="shared" si="3"/>
        <v>-</v>
      </c>
      <c r="J38" s="122" t="str">
        <f t="shared" si="3"/>
        <v>-</v>
      </c>
      <c r="K38" s="122" t="str">
        <f t="shared" si="3"/>
        <v>-</v>
      </c>
      <c r="L38" s="123" t="str">
        <f t="shared" si="5"/>
        <v>-</v>
      </c>
      <c r="P38" s="129">
        <f t="shared" si="4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206" t="s">
        <v>833</v>
      </c>
      <c r="G39" s="134" t="s">
        <v>103</v>
      </c>
      <c r="H39" s="137">
        <f>145+66</f>
        <v>211</v>
      </c>
      <c r="I39" s="137">
        <f t="shared" si="3"/>
        <v>0</v>
      </c>
      <c r="J39" s="137">
        <f t="shared" si="3"/>
        <v>0</v>
      </c>
      <c r="K39" s="137">
        <f t="shared" si="3"/>
        <v>0</v>
      </c>
      <c r="L39" s="138">
        <v>211</v>
      </c>
      <c r="P39" s="134">
        <f t="shared" si="4"/>
        <v>0</v>
      </c>
    </row>
    <row r="40" spans="1:17" s="134" customFormat="1" ht="42.75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32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4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834</v>
      </c>
      <c r="G41" s="155" t="s">
        <v>74</v>
      </c>
      <c r="H41" s="156">
        <f t="shared" ref="H41:K65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P41" s="155">
        <f t="shared" si="4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149</v>
      </c>
      <c r="G42" s="129" t="s">
        <v>74</v>
      </c>
      <c r="I42" s="146">
        <f t="shared" si="6"/>
        <v>0</v>
      </c>
      <c r="J42" s="146">
        <f t="shared" si="6"/>
        <v>0</v>
      </c>
      <c r="K42" s="146">
        <f t="shared" si="6"/>
        <v>0</v>
      </c>
      <c r="L42" s="184">
        <v>1</v>
      </c>
      <c r="M42" s="349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21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835</v>
      </c>
      <c r="G45" s="146" t="s">
        <v>74</v>
      </c>
      <c r="H45" s="187">
        <f t="shared" si="6"/>
        <v>0</v>
      </c>
      <c r="I45" s="187">
        <f t="shared" si="6"/>
        <v>0</v>
      </c>
      <c r="J45" s="187">
        <v>1</v>
      </c>
      <c r="K45" s="187">
        <f t="shared" si="6"/>
        <v>0</v>
      </c>
      <c r="L45" s="316">
        <f t="shared" ref="L45:L82" si="7">IF($E45="ne","-",H45+I45+J45+K45)</f>
        <v>1</v>
      </c>
      <c r="P45" s="146">
        <f t="shared" ref="P45:P87" si="8">IFERROR(N45+O45,"-")</f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836</v>
      </c>
      <c r="G46" s="129" t="s">
        <v>74</v>
      </c>
      <c r="H46" s="122">
        <f t="shared" si="6"/>
        <v>0</v>
      </c>
      <c r="I46" s="122">
        <f t="shared" si="6"/>
        <v>0</v>
      </c>
      <c r="J46" s="122">
        <v>4</v>
      </c>
      <c r="K46" s="122">
        <f t="shared" si="6"/>
        <v>0</v>
      </c>
      <c r="L46" s="114">
        <f t="shared" si="7"/>
        <v>4</v>
      </c>
      <c r="P46" s="129">
        <f t="shared" si="8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457</v>
      </c>
      <c r="G47" s="129" t="s">
        <v>74</v>
      </c>
      <c r="H47" s="122">
        <f t="shared" si="6"/>
        <v>0</v>
      </c>
      <c r="I47" s="122">
        <f t="shared" si="6"/>
        <v>0</v>
      </c>
      <c r="J47" s="122">
        <v>1</v>
      </c>
      <c r="K47" s="122">
        <f t="shared" si="6"/>
        <v>0</v>
      </c>
      <c r="L47" s="114">
        <f t="shared" si="7"/>
        <v>1</v>
      </c>
      <c r="P47" s="129">
        <f t="shared" si="8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457</v>
      </c>
      <c r="G48" s="129" t="s">
        <v>74</v>
      </c>
      <c r="H48" s="122">
        <f t="shared" si="6"/>
        <v>0</v>
      </c>
      <c r="I48" s="122">
        <f t="shared" si="6"/>
        <v>0</v>
      </c>
      <c r="J48" s="122">
        <v>1</v>
      </c>
      <c r="K48" s="122">
        <f t="shared" si="6"/>
        <v>0</v>
      </c>
      <c r="L48" s="114">
        <f t="shared" si="7"/>
        <v>1</v>
      </c>
      <c r="P48" s="129">
        <f t="shared" si="8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837</v>
      </c>
      <c r="G49" s="129" t="s">
        <v>74</v>
      </c>
      <c r="H49" s="122">
        <v>4</v>
      </c>
      <c r="I49" s="122">
        <f t="shared" si="6"/>
        <v>0</v>
      </c>
      <c r="J49" s="122">
        <f t="shared" si="6"/>
        <v>0</v>
      </c>
      <c r="K49" s="122">
        <f t="shared" si="6"/>
        <v>0</v>
      </c>
      <c r="L49" s="114">
        <f t="shared" si="7"/>
        <v>4</v>
      </c>
      <c r="P49" s="129">
        <f t="shared" si="8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838</v>
      </c>
      <c r="G50" s="129" t="s">
        <v>74</v>
      </c>
      <c r="H50" s="122">
        <v>8</v>
      </c>
      <c r="I50" s="122">
        <f t="shared" si="6"/>
        <v>0</v>
      </c>
      <c r="J50" s="122">
        <f t="shared" si="6"/>
        <v>0</v>
      </c>
      <c r="K50" s="122">
        <f t="shared" si="6"/>
        <v>0</v>
      </c>
      <c r="L50" s="114">
        <f t="shared" si="7"/>
        <v>8</v>
      </c>
      <c r="P50" s="129">
        <f t="shared" si="8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839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1</v>
      </c>
      <c r="K51" s="122">
        <f t="shared" si="6"/>
        <v>0</v>
      </c>
      <c r="L51" s="114">
        <f t="shared" si="7"/>
        <v>1</v>
      </c>
      <c r="P51" s="129">
        <f t="shared" si="8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316">
        <f t="shared" si="7"/>
        <v>1</v>
      </c>
      <c r="P52" s="146">
        <f t="shared" si="8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14">
        <v>1</v>
      </c>
      <c r="P53" s="129">
        <f t="shared" si="8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329">
        <v>1</v>
      </c>
      <c r="P54" s="134">
        <f t="shared" si="8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840</v>
      </c>
      <c r="G55" s="129" t="s">
        <v>63</v>
      </c>
      <c r="H55" s="122">
        <v>15</v>
      </c>
      <c r="I55" s="122">
        <f t="shared" si="6"/>
        <v>0</v>
      </c>
      <c r="J55" s="122">
        <f t="shared" si="6"/>
        <v>0</v>
      </c>
      <c r="K55" s="122">
        <v>3</v>
      </c>
      <c r="L55" s="114">
        <f t="shared" si="7"/>
        <v>18</v>
      </c>
      <c r="P55" s="129">
        <f t="shared" si="8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841</v>
      </c>
      <c r="G56" s="129" t="s">
        <v>63</v>
      </c>
      <c r="H56" s="122">
        <v>8</v>
      </c>
      <c r="I56" s="122">
        <f t="shared" si="6"/>
        <v>0</v>
      </c>
      <c r="J56" s="122">
        <f t="shared" si="6"/>
        <v>0</v>
      </c>
      <c r="K56" s="122">
        <f t="shared" si="6"/>
        <v>0</v>
      </c>
      <c r="L56" s="114">
        <f t="shared" si="7"/>
        <v>8</v>
      </c>
      <c r="P56" s="129">
        <f t="shared" si="8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842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329">
        <v>1</v>
      </c>
      <c r="P57" s="134">
        <f t="shared" si="8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841</v>
      </c>
      <c r="G58" s="129" t="s">
        <v>63</v>
      </c>
      <c r="H58" s="122">
        <v>8</v>
      </c>
      <c r="I58" s="122">
        <f t="shared" si="6"/>
        <v>0</v>
      </c>
      <c r="J58" s="122">
        <f t="shared" si="6"/>
        <v>0</v>
      </c>
      <c r="K58" s="122">
        <f t="shared" si="6"/>
        <v>0</v>
      </c>
      <c r="L58" s="114">
        <f t="shared" si="7"/>
        <v>8</v>
      </c>
      <c r="P58" s="129">
        <f t="shared" si="8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843</v>
      </c>
      <c r="G59" s="134" t="s">
        <v>63</v>
      </c>
      <c r="H59" s="137">
        <v>1</v>
      </c>
      <c r="I59" s="137">
        <f t="shared" si="6"/>
        <v>0</v>
      </c>
      <c r="J59" s="137">
        <f t="shared" si="6"/>
        <v>0</v>
      </c>
      <c r="K59" s="137">
        <f t="shared" si="6"/>
        <v>0</v>
      </c>
      <c r="L59" s="329">
        <f t="shared" si="7"/>
        <v>1</v>
      </c>
      <c r="N59" s="129"/>
      <c r="O59" s="129"/>
      <c r="P59" s="129">
        <f t="shared" si="8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844</v>
      </c>
      <c r="G60" s="146" t="s">
        <v>74</v>
      </c>
      <c r="H60" s="187">
        <f t="shared" si="6"/>
        <v>0</v>
      </c>
      <c r="I60" s="187">
        <f t="shared" si="6"/>
        <v>0</v>
      </c>
      <c r="J60" s="187">
        <v>3</v>
      </c>
      <c r="K60" s="187">
        <f t="shared" si="6"/>
        <v>0</v>
      </c>
      <c r="L60" s="184">
        <f t="shared" si="7"/>
        <v>3</v>
      </c>
      <c r="M60" s="146"/>
      <c r="N60" s="146"/>
      <c r="O60" s="146"/>
      <c r="P60" s="146">
        <f t="shared" si="8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8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8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441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8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8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806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8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8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225</v>
      </c>
      <c r="F67" s="129" t="s">
        <v>845</v>
      </c>
      <c r="G67" s="129" t="s">
        <v>74</v>
      </c>
      <c r="H67" s="122" t="s">
        <v>154</v>
      </c>
      <c r="I67" s="122" t="s">
        <v>154</v>
      </c>
      <c r="J67" s="122" t="s">
        <v>154</v>
      </c>
      <c r="K67" s="122" t="s">
        <v>154</v>
      </c>
      <c r="L67" s="123" t="s">
        <v>154</v>
      </c>
      <c r="P67" s="129">
        <f t="shared" si="8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846</v>
      </c>
      <c r="G68" s="129" t="s">
        <v>74</v>
      </c>
      <c r="H68" s="129">
        <v>0</v>
      </c>
      <c r="I68" s="129">
        <v>0</v>
      </c>
      <c r="J68" s="129">
        <v>3</v>
      </c>
      <c r="K68" s="129">
        <v>0</v>
      </c>
      <c r="L68" s="123">
        <f t="shared" si="7"/>
        <v>3</v>
      </c>
      <c r="P68" s="129">
        <f t="shared" si="8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847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8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8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848</v>
      </c>
      <c r="G71" s="129" t="s">
        <v>74</v>
      </c>
      <c r="H71" s="122">
        <f t="shared" ref="H71:K88" si="9">IF($E71="ne","-",)</f>
        <v>0</v>
      </c>
      <c r="I71" s="122">
        <f t="shared" si="9"/>
        <v>0</v>
      </c>
      <c r="J71" s="122">
        <f t="shared" si="9"/>
        <v>0</v>
      </c>
      <c r="K71" s="122">
        <f t="shared" si="9"/>
        <v>0</v>
      </c>
      <c r="L71" s="123">
        <v>1</v>
      </c>
      <c r="P71" s="129">
        <f t="shared" si="8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849</v>
      </c>
      <c r="G72" s="129" t="s">
        <v>74</v>
      </c>
      <c r="H72" s="122">
        <v>2</v>
      </c>
      <c r="I72" s="122">
        <f t="shared" si="9"/>
        <v>0</v>
      </c>
      <c r="J72" s="122">
        <f t="shared" si="9"/>
        <v>0</v>
      </c>
      <c r="K72" s="122">
        <f t="shared" si="9"/>
        <v>0</v>
      </c>
      <c r="L72" s="123">
        <f>IF($E72="ne","-",H72+I72+J72+K72)</f>
        <v>2</v>
      </c>
      <c r="P72" s="129">
        <f t="shared" si="8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850</v>
      </c>
      <c r="G73" s="129" t="s">
        <v>74</v>
      </c>
      <c r="H73" s="122">
        <f t="shared" si="9"/>
        <v>0</v>
      </c>
      <c r="I73" s="122">
        <f t="shared" si="9"/>
        <v>0</v>
      </c>
      <c r="J73" s="122">
        <f t="shared" si="9"/>
        <v>0</v>
      </c>
      <c r="K73" s="122">
        <f t="shared" si="9"/>
        <v>0</v>
      </c>
      <c r="L73" s="123">
        <v>1</v>
      </c>
      <c r="P73" s="129">
        <f t="shared" si="8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851</v>
      </c>
      <c r="G74" s="134" t="s">
        <v>74</v>
      </c>
      <c r="H74" s="137">
        <f t="shared" si="9"/>
        <v>0</v>
      </c>
      <c r="I74" s="137">
        <f t="shared" si="9"/>
        <v>0</v>
      </c>
      <c r="J74" s="137">
        <f t="shared" si="9"/>
        <v>0</v>
      </c>
      <c r="K74" s="137">
        <f t="shared" si="9"/>
        <v>0</v>
      </c>
      <c r="L74" s="138">
        <v>1</v>
      </c>
      <c r="P74" s="134">
        <f t="shared" si="8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225</v>
      </c>
      <c r="F75" s="161" t="s">
        <v>852</v>
      </c>
      <c r="G75" s="129" t="s">
        <v>74</v>
      </c>
      <c r="H75" s="122" t="s">
        <v>154</v>
      </c>
      <c r="I75" s="122" t="s">
        <v>154</v>
      </c>
      <c r="J75" s="122" t="s">
        <v>154</v>
      </c>
      <c r="K75" s="122" t="s">
        <v>154</v>
      </c>
      <c r="L75" s="123" t="s">
        <v>154</v>
      </c>
      <c r="P75" s="129">
        <f t="shared" si="8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225</v>
      </c>
      <c r="F76" s="161" t="s">
        <v>813</v>
      </c>
      <c r="G76" s="129" t="s">
        <v>74</v>
      </c>
      <c r="H76" s="122" t="s">
        <v>154</v>
      </c>
      <c r="I76" s="122" t="s">
        <v>154</v>
      </c>
      <c r="J76" s="122" t="s">
        <v>154</v>
      </c>
      <c r="K76" s="122" t="s">
        <v>154</v>
      </c>
      <c r="L76" s="123" t="s">
        <v>154</v>
      </c>
      <c r="P76" s="129">
        <f t="shared" si="8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853</v>
      </c>
      <c r="G77" s="134" t="s">
        <v>74</v>
      </c>
      <c r="H77" s="137">
        <v>1</v>
      </c>
      <c r="I77" s="137">
        <f t="shared" si="9"/>
        <v>0</v>
      </c>
      <c r="J77" s="137">
        <f t="shared" si="9"/>
        <v>0</v>
      </c>
      <c r="K77" s="137">
        <f t="shared" si="9"/>
        <v>0</v>
      </c>
      <c r="L77" s="138">
        <f t="shared" si="7"/>
        <v>1</v>
      </c>
      <c r="P77" s="134">
        <f t="shared" si="8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225</v>
      </c>
      <c r="F78" s="161" t="s">
        <v>854</v>
      </c>
      <c r="G78" s="129" t="s">
        <v>74</v>
      </c>
      <c r="H78" s="122" t="s">
        <v>154</v>
      </c>
      <c r="I78" s="122" t="s">
        <v>154</v>
      </c>
      <c r="J78" s="122" t="s">
        <v>154</v>
      </c>
      <c r="K78" s="122" t="s">
        <v>154</v>
      </c>
      <c r="L78" s="123" t="s">
        <v>154</v>
      </c>
      <c r="P78" s="129">
        <f t="shared" si="8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225</v>
      </c>
      <c r="F79" s="161" t="s">
        <v>854</v>
      </c>
      <c r="G79" s="129" t="s">
        <v>74</v>
      </c>
      <c r="H79" s="122" t="s">
        <v>154</v>
      </c>
      <c r="I79" s="122" t="s">
        <v>154</v>
      </c>
      <c r="J79" s="122" t="s">
        <v>154</v>
      </c>
      <c r="K79" s="122" t="s">
        <v>154</v>
      </c>
      <c r="L79" s="123" t="s">
        <v>154</v>
      </c>
      <c r="P79" s="129">
        <f t="shared" si="8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855</v>
      </c>
      <c r="G80" s="134" t="s">
        <v>74</v>
      </c>
      <c r="H80" s="137">
        <f t="shared" si="9"/>
        <v>0</v>
      </c>
      <c r="I80" s="137">
        <f t="shared" si="9"/>
        <v>0</v>
      </c>
      <c r="J80" s="137">
        <f t="shared" si="9"/>
        <v>0</v>
      </c>
      <c r="K80" s="137">
        <f t="shared" si="9"/>
        <v>0</v>
      </c>
      <c r="L80" s="138">
        <v>1</v>
      </c>
      <c r="P80" s="134">
        <f t="shared" si="8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856</v>
      </c>
      <c r="G81" s="129" t="s">
        <v>74</v>
      </c>
      <c r="H81" s="122">
        <f t="shared" si="9"/>
        <v>0</v>
      </c>
      <c r="I81" s="122">
        <f t="shared" si="9"/>
        <v>0</v>
      </c>
      <c r="J81" s="122">
        <f t="shared" si="9"/>
        <v>0</v>
      </c>
      <c r="K81" s="122">
        <f t="shared" si="9"/>
        <v>0</v>
      </c>
      <c r="L81" s="123">
        <v>1</v>
      </c>
      <c r="P81" s="129">
        <f t="shared" si="8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9"/>
        <v>-</v>
      </c>
      <c r="I82" s="122" t="str">
        <f t="shared" si="9"/>
        <v>-</v>
      </c>
      <c r="J82" s="122" t="str">
        <f t="shared" si="9"/>
        <v>-</v>
      </c>
      <c r="K82" s="122" t="str">
        <f t="shared" si="9"/>
        <v>-</v>
      </c>
      <c r="L82" s="123" t="str">
        <f t="shared" si="7"/>
        <v>-</v>
      </c>
      <c r="P82" s="129">
        <f t="shared" si="8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855</v>
      </c>
      <c r="G83" s="134" t="s">
        <v>74</v>
      </c>
      <c r="H83" s="137">
        <f t="shared" si="9"/>
        <v>0</v>
      </c>
      <c r="I83" s="137">
        <f t="shared" si="9"/>
        <v>0</v>
      </c>
      <c r="J83" s="137">
        <f t="shared" si="9"/>
        <v>0</v>
      </c>
      <c r="K83" s="137">
        <f t="shared" si="9"/>
        <v>0</v>
      </c>
      <c r="L83" s="138">
        <v>1</v>
      </c>
      <c r="P83" s="134">
        <f t="shared" si="8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857</v>
      </c>
      <c r="G84" s="134" t="s">
        <v>74</v>
      </c>
      <c r="H84" s="156">
        <f>IF($E84="ne","-",)</f>
        <v>0</v>
      </c>
      <c r="I84" s="156">
        <f>IF($E84="ne","-",)</f>
        <v>0</v>
      </c>
      <c r="J84" s="156">
        <f>IF($E84="ne","-",)</f>
        <v>0</v>
      </c>
      <c r="K84" s="156">
        <f>IF($E84="ne","-",)</f>
        <v>0</v>
      </c>
      <c r="L84" s="138">
        <v>1</v>
      </c>
      <c r="P84" s="134">
        <f t="shared" si="8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9"/>
        <v>0</v>
      </c>
      <c r="I85" s="156">
        <f t="shared" si="9"/>
        <v>0</v>
      </c>
      <c r="J85" s="156">
        <f t="shared" si="9"/>
        <v>0</v>
      </c>
      <c r="K85" s="156">
        <f t="shared" si="9"/>
        <v>0</v>
      </c>
      <c r="L85" s="138">
        <v>1</v>
      </c>
      <c r="P85" s="155">
        <f t="shared" si="8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858</v>
      </c>
      <c r="G86" s="155" t="s">
        <v>74</v>
      </c>
      <c r="H86" s="155">
        <f t="shared" si="9"/>
        <v>0</v>
      </c>
      <c r="I86" s="155">
        <f t="shared" si="9"/>
        <v>0</v>
      </c>
      <c r="J86" s="155">
        <f t="shared" si="9"/>
        <v>0</v>
      </c>
      <c r="K86" s="155">
        <f t="shared" si="9"/>
        <v>0</v>
      </c>
      <c r="L86" s="160">
        <v>1</v>
      </c>
      <c r="M86" s="155"/>
      <c r="N86" s="155"/>
      <c r="O86" s="155"/>
      <c r="P86" s="155">
        <f t="shared" si="8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8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149</v>
      </c>
      <c r="G88" s="129" t="s">
        <v>74</v>
      </c>
      <c r="H88" s="129">
        <f t="shared" si="9"/>
        <v>0</v>
      </c>
      <c r="I88" s="129">
        <f t="shared" si="9"/>
        <v>0</v>
      </c>
      <c r="J88" s="129">
        <f t="shared" si="9"/>
        <v>0</v>
      </c>
      <c r="K88" s="129">
        <f t="shared" si="9"/>
        <v>0</v>
      </c>
      <c r="L88" s="123">
        <v>1</v>
      </c>
      <c r="M88" s="349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155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46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351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51">
        <f>P98*(1+P100)</f>
        <v>0</v>
      </c>
    </row>
  </sheetData>
  <autoFilter ref="B2:N2" xr:uid="{B02B0A38-8D86-4EC5-97E5-74611AC52359}"/>
  <mergeCells count="3">
    <mergeCell ref="H1:L1"/>
    <mergeCell ref="A98:O98"/>
    <mergeCell ref="A102:O102"/>
  </mergeCells>
  <conditionalFormatting sqref="E6:E8 E29:E43 E10:E23 E26:E27">
    <cfRule type="cellIs" dxfId="386" priority="33" operator="equal">
      <formula>"ne"</formula>
    </cfRule>
  </conditionalFormatting>
  <conditionalFormatting sqref="E45:E67">
    <cfRule type="cellIs" dxfId="385" priority="36" operator="equal">
      <formula>"ne"</formula>
    </cfRule>
  </conditionalFormatting>
  <conditionalFormatting sqref="E69 E71:E91">
    <cfRule type="cellIs" dxfId="384" priority="26" operator="equal">
      <formula>"ne"</formula>
    </cfRule>
  </conditionalFormatting>
  <conditionalFormatting sqref="E96">
    <cfRule type="cellIs" dxfId="383" priority="29" operator="equal">
      <formula>"ne"</formula>
    </cfRule>
  </conditionalFormatting>
  <conditionalFormatting sqref="H3:K17 H30:K43 H19:K23 H26:K27">
    <cfRule type="cellIs" dxfId="382" priority="30" operator="between">
      <formula>0.0001</formula>
      <formula>1000</formula>
    </cfRule>
    <cfRule type="cellIs" dxfId="381" priority="31" operator="equal">
      <formula>"-"</formula>
    </cfRule>
  </conditionalFormatting>
  <conditionalFormatting sqref="H69:K69 H71:K90">
    <cfRule type="cellIs" dxfId="380" priority="24" operator="between">
      <formula>0.0001</formula>
      <formula>1000</formula>
    </cfRule>
    <cfRule type="cellIs" dxfId="379" priority="25" operator="equal">
      <formula>"-"</formula>
    </cfRule>
  </conditionalFormatting>
  <conditionalFormatting sqref="H96:K96">
    <cfRule type="cellIs" dxfId="378" priority="27" operator="between">
      <formula>0.0001</formula>
      <formula>1000</formula>
    </cfRule>
    <cfRule type="cellIs" dxfId="377" priority="28" operator="equal">
      <formula>"-"</formula>
    </cfRule>
  </conditionalFormatting>
  <conditionalFormatting sqref="I18:K18 I29:K29 H45:K67">
    <cfRule type="cellIs" dxfId="376" priority="34" operator="between">
      <formula>0.0001</formula>
      <formula>1000</formula>
    </cfRule>
    <cfRule type="cellIs" dxfId="375" priority="35" operator="equal">
      <formula>"-"</formula>
    </cfRule>
  </conditionalFormatting>
  <conditionalFormatting sqref="L29:L42 L3:L23 L26">
    <cfRule type="cellIs" dxfId="374" priority="32" operator="equal">
      <formula>0</formula>
    </cfRule>
  </conditionalFormatting>
  <conditionalFormatting sqref="L60:L69 L71:L88">
    <cfRule type="cellIs" dxfId="373" priority="23" operator="equal">
      <formula>0</formula>
    </cfRule>
  </conditionalFormatting>
  <conditionalFormatting sqref="E70">
    <cfRule type="cellIs" dxfId="372" priority="22" operator="equal">
      <formula>"ne"</formula>
    </cfRule>
  </conditionalFormatting>
  <conditionalFormatting sqref="H70:K70">
    <cfRule type="cellIs" dxfId="371" priority="20" operator="between">
      <formula>0.0001</formula>
      <formula>1000</formula>
    </cfRule>
    <cfRule type="cellIs" dxfId="370" priority="21" operator="equal">
      <formula>"-"</formula>
    </cfRule>
  </conditionalFormatting>
  <conditionalFormatting sqref="L70">
    <cfRule type="cellIs" dxfId="369" priority="19" operator="equal">
      <formula>0</formula>
    </cfRule>
  </conditionalFormatting>
  <conditionalFormatting sqref="E25">
    <cfRule type="cellIs" dxfId="368" priority="11" operator="equal">
      <formula>"ne"</formula>
    </cfRule>
  </conditionalFormatting>
  <conditionalFormatting sqref="H25:K25">
    <cfRule type="cellIs" dxfId="367" priority="8" operator="between">
      <formula>0.0001</formula>
      <formula>1000</formula>
    </cfRule>
    <cfRule type="cellIs" dxfId="366" priority="9" operator="equal">
      <formula>"-"</formula>
    </cfRule>
  </conditionalFormatting>
  <conditionalFormatting sqref="L25">
    <cfRule type="cellIs" dxfId="365" priority="10" operator="equal">
      <formula>0</formula>
    </cfRule>
  </conditionalFormatting>
  <conditionalFormatting sqref="E24:E25">
    <cfRule type="cellIs" dxfId="364" priority="7" operator="equal">
      <formula>"ne"</formula>
    </cfRule>
  </conditionalFormatting>
  <conditionalFormatting sqref="H24:K25">
    <cfRule type="cellIs" dxfId="363" priority="5" operator="between">
      <formula>0.0001</formula>
      <formula>1000</formula>
    </cfRule>
    <cfRule type="cellIs" dxfId="362" priority="6" operator="equal">
      <formula>"-"</formula>
    </cfRule>
  </conditionalFormatting>
  <conditionalFormatting sqref="L24:L25">
    <cfRule type="cellIs" dxfId="361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A8C7-6861-4AB9-BCE3-22F147D9E99C}">
  <sheetPr>
    <tabColor theme="9" tint="0.39997558519241921"/>
  </sheetPr>
  <dimension ref="A1:Q102"/>
  <sheetViews>
    <sheetView zoomScale="80" zoomScaleNormal="80" workbookViewId="0">
      <pane ySplit="2" topLeftCell="A18" activePane="bottomLeft" state="frozen"/>
      <selection activeCell="C101" sqref="C101"/>
      <selection pane="bottomLeft" activeCell="Q4" sqref="Q4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57" style="129" customWidth="1"/>
    <col min="7" max="7" width="9.140625" style="129"/>
    <col min="8" max="12" width="8.5703125" style="129" customWidth="1"/>
    <col min="13" max="13" width="19.425781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785</v>
      </c>
      <c r="G3" s="119" t="s">
        <v>103</v>
      </c>
      <c r="H3" s="122">
        <f>IF($E3="ne","-",)</f>
        <v>0</v>
      </c>
      <c r="I3" s="122">
        <v>0</v>
      </c>
      <c r="J3" s="122">
        <f>IF($E3="ne","-",)</f>
        <v>0</v>
      </c>
      <c r="K3" s="122">
        <f>480+87+79+139+44+114</f>
        <v>943</v>
      </c>
      <c r="L3" s="123">
        <f>IF($E3="ne","-",H3+I3+J3+K3)</f>
        <v>943</v>
      </c>
      <c r="M3" s="124"/>
      <c r="N3" s="124"/>
      <c r="O3" s="124"/>
      <c r="P3" s="124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786</v>
      </c>
      <c r="G4" s="129" t="s">
        <v>103</v>
      </c>
      <c r="H4" s="122">
        <f>IF($E4="ne","-",)</f>
        <v>0</v>
      </c>
      <c r="I4" s="122">
        <f>155+80</f>
        <v>235</v>
      </c>
      <c r="J4" s="122">
        <f>18</f>
        <v>18</v>
      </c>
      <c r="K4" s="122">
        <f>IF($E4="ne","-",)</f>
        <v>0</v>
      </c>
      <c r="L4" s="123">
        <f t="shared" ref="L4:L39" si="0">IF($E4="ne","-",H4+I4+J4+K4)</f>
        <v>253</v>
      </c>
      <c r="M4" s="130"/>
      <c r="N4" s="130"/>
      <c r="O4" s="130"/>
      <c r="P4" s="124">
        <f t="shared" ref="P4:P76" si="1">IFERROR(N4+O4,"-")</f>
        <v>0</v>
      </c>
      <c r="Q4" s="129" t="s">
        <v>279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28"/>
      <c r="G5" s="129" t="s">
        <v>103</v>
      </c>
      <c r="H5" s="122" t="str">
        <f t="shared" ref="H5:K18" si="2">IF($E5="ne","-",)</f>
        <v>-</v>
      </c>
      <c r="I5" s="122" t="str">
        <f t="shared" si="2"/>
        <v>-</v>
      </c>
      <c r="J5" s="122" t="str">
        <f t="shared" si="2"/>
        <v>-</v>
      </c>
      <c r="K5" s="122" t="str">
        <f t="shared" si="2"/>
        <v>-</v>
      </c>
      <c r="L5" s="123" t="str">
        <f t="shared" si="0"/>
        <v>-</v>
      </c>
      <c r="M5" s="130"/>
      <c r="N5" s="130"/>
      <c r="O5" s="130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G6" s="129" t="s">
        <v>103</v>
      </c>
      <c r="H6" s="122" t="str">
        <f t="shared" si="2"/>
        <v>-</v>
      </c>
      <c r="I6" s="122" t="str">
        <f t="shared" si="2"/>
        <v>-</v>
      </c>
      <c r="J6" s="122" t="str">
        <f t="shared" si="2"/>
        <v>-</v>
      </c>
      <c r="K6" s="122" t="str">
        <f t="shared" si="2"/>
        <v>-</v>
      </c>
      <c r="L6" s="123" t="str">
        <f t="shared" si="0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 t="str">
        <f t="shared" si="2"/>
        <v>-</v>
      </c>
      <c r="I7" s="122" t="str">
        <f t="shared" si="2"/>
        <v>-</v>
      </c>
      <c r="J7" s="122" t="str">
        <f t="shared" si="2"/>
        <v>-</v>
      </c>
      <c r="K7" s="122" t="str">
        <f t="shared" si="2"/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113</v>
      </c>
      <c r="F8" s="128"/>
      <c r="G8" s="129" t="s">
        <v>103</v>
      </c>
      <c r="H8" s="122" t="str">
        <f t="shared" si="2"/>
        <v>-</v>
      </c>
      <c r="I8" s="122" t="str">
        <f t="shared" si="2"/>
        <v>-</v>
      </c>
      <c r="J8" s="122" t="str">
        <f t="shared" si="2"/>
        <v>-</v>
      </c>
      <c r="K8" s="122" t="str">
        <f t="shared" si="2"/>
        <v>-</v>
      </c>
      <c r="L8" s="123" t="str">
        <f t="shared" si="0"/>
        <v>-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I39" si="3">IF($E9="ne","-",)</f>
        <v>-</v>
      </c>
      <c r="I9" s="122" t="str">
        <f t="shared" si="2"/>
        <v>-</v>
      </c>
      <c r="J9" s="122" t="str">
        <f t="shared" si="2"/>
        <v>-</v>
      </c>
      <c r="K9" s="122" t="str">
        <f t="shared" si="2"/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3"/>
        <v>-</v>
      </c>
      <c r="I10" s="122" t="str">
        <f t="shared" si="2"/>
        <v>-</v>
      </c>
      <c r="J10" s="122" t="str">
        <f t="shared" si="2"/>
        <v>-</v>
      </c>
      <c r="K10" s="122" t="str">
        <f t="shared" si="2"/>
        <v>-</v>
      </c>
      <c r="L10" s="123" t="str">
        <f t="shared" si="0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113</v>
      </c>
      <c r="G11" s="129" t="s">
        <v>103</v>
      </c>
      <c r="H11" s="122" t="str">
        <f t="shared" si="3"/>
        <v>-</v>
      </c>
      <c r="I11" s="122" t="str">
        <f t="shared" si="3"/>
        <v>-</v>
      </c>
      <c r="J11" s="122" t="str">
        <f t="shared" si="2"/>
        <v>-</v>
      </c>
      <c r="K11" s="122" t="str">
        <f t="shared" si="2"/>
        <v>-</v>
      </c>
      <c r="L11" s="123" t="str">
        <f t="shared" si="0"/>
        <v>-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F12" s="128"/>
      <c r="G12" s="129" t="s">
        <v>74</v>
      </c>
      <c r="H12" s="122" t="str">
        <f t="shared" si="3"/>
        <v>-</v>
      </c>
      <c r="I12" s="122" t="str">
        <f t="shared" si="2"/>
        <v>-</v>
      </c>
      <c r="J12" s="122" t="str">
        <f t="shared" si="2"/>
        <v>-</v>
      </c>
      <c r="K12" s="122" t="str">
        <f t="shared" si="2"/>
        <v>-</v>
      </c>
      <c r="L12" s="123" t="str">
        <f t="shared" si="0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3"/>
        <v>-</v>
      </c>
      <c r="I13" s="122" t="str">
        <f t="shared" si="2"/>
        <v>-</v>
      </c>
      <c r="J13" s="122" t="str">
        <f t="shared" si="2"/>
        <v>-</v>
      </c>
      <c r="K13" s="122" t="str">
        <f t="shared" si="2"/>
        <v>-</v>
      </c>
      <c r="L13" s="123" t="str">
        <f t="shared" si="0"/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F14" s="128"/>
      <c r="G14" s="129" t="s">
        <v>103</v>
      </c>
      <c r="H14" s="122" t="str">
        <f t="shared" si="3"/>
        <v>-</v>
      </c>
      <c r="I14" s="122" t="str">
        <f t="shared" si="2"/>
        <v>-</v>
      </c>
      <c r="J14" s="122" t="str">
        <f t="shared" si="2"/>
        <v>-</v>
      </c>
      <c r="K14" s="122" t="str">
        <f t="shared" si="2"/>
        <v>-</v>
      </c>
      <c r="L14" s="123" t="str">
        <f t="shared" si="0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113</v>
      </c>
      <c r="F16" s="149"/>
      <c r="G16" s="134" t="s">
        <v>103</v>
      </c>
      <c r="H16" s="137" t="str">
        <f t="shared" si="3"/>
        <v>-</v>
      </c>
      <c r="I16" s="137" t="str">
        <f t="shared" si="2"/>
        <v>-</v>
      </c>
      <c r="J16" s="137" t="str">
        <f t="shared" si="2"/>
        <v>-</v>
      </c>
      <c r="K16" s="137" t="str">
        <f t="shared" si="2"/>
        <v>-</v>
      </c>
      <c r="L16" s="138" t="str">
        <f t="shared" si="0"/>
        <v>-</v>
      </c>
      <c r="M16" s="139"/>
      <c r="N16" s="139"/>
      <c r="O16" s="139"/>
      <c r="P16" s="139">
        <f t="shared" si="1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3"/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113</v>
      </c>
      <c r="F18" s="149"/>
      <c r="G18" s="134" t="s">
        <v>63</v>
      </c>
      <c r="H18" s="137" t="str">
        <f t="shared" si="3"/>
        <v>-</v>
      </c>
      <c r="I18" s="137" t="str">
        <f t="shared" si="2"/>
        <v>-</v>
      </c>
      <c r="J18" s="137" t="str">
        <f t="shared" si="2"/>
        <v>-</v>
      </c>
      <c r="K18" s="137" t="str">
        <f t="shared" si="2"/>
        <v>-</v>
      </c>
      <c r="L18" s="138" t="str">
        <f t="shared" si="0"/>
        <v>-</v>
      </c>
      <c r="M18" s="139"/>
      <c r="N18" s="139"/>
      <c r="O18" s="139"/>
      <c r="P18" s="130">
        <f t="shared" si="1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3"/>
        <v>-</v>
      </c>
      <c r="I19" s="122" t="str">
        <f t="shared" ref="I19:I39" si="4">IF($E19="ne","-",)</f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29" t="s">
        <v>787</v>
      </c>
      <c r="G20" s="129" t="s">
        <v>63</v>
      </c>
      <c r="H20" s="122">
        <f t="shared" si="3"/>
        <v>0</v>
      </c>
      <c r="I20" s="122">
        <v>2</v>
      </c>
      <c r="J20" s="122">
        <f t="shared" ref="J20:K39" si="5">IF($E20="ne","-",)</f>
        <v>0</v>
      </c>
      <c r="K20" s="122">
        <f t="shared" si="5"/>
        <v>0</v>
      </c>
      <c r="L20" s="123">
        <f>IF($E20="ne","-",H20+I20+J20+K20)</f>
        <v>2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si="3"/>
        <v>-</v>
      </c>
      <c r="I21" s="122" t="str">
        <f t="shared" si="4"/>
        <v>-</v>
      </c>
      <c r="J21" s="122" t="str">
        <f t="shared" si="5"/>
        <v>-</v>
      </c>
      <c r="K21" s="122" t="str">
        <f t="shared" si="5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788</v>
      </c>
      <c r="G22" s="155" t="s">
        <v>74</v>
      </c>
      <c r="H22" s="156">
        <f t="shared" si="3"/>
        <v>0</v>
      </c>
      <c r="I22" s="156">
        <f t="shared" si="4"/>
        <v>0</v>
      </c>
      <c r="J22" s="156">
        <f t="shared" si="5"/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789</v>
      </c>
      <c r="G23" s="155" t="s">
        <v>74</v>
      </c>
      <c r="H23" s="156">
        <f t="shared" si="3"/>
        <v>0</v>
      </c>
      <c r="I23" s="156">
        <f t="shared" si="4"/>
        <v>0</v>
      </c>
      <c r="J23" s="156">
        <f t="shared" si="5"/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113</v>
      </c>
      <c r="F25" s="208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349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21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B28" s="126"/>
      <c r="C28" s="127"/>
      <c r="D28" s="127"/>
      <c r="H28" s="122"/>
      <c r="I28" s="122"/>
      <c r="J28" s="122"/>
      <c r="K28" s="122"/>
      <c r="L28" s="123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113</v>
      </c>
      <c r="F29" s="145"/>
      <c r="G29" s="146" t="s">
        <v>63</v>
      </c>
      <c r="H29" s="187" t="str">
        <f t="shared" si="3"/>
        <v>-</v>
      </c>
      <c r="I29" s="187" t="str">
        <f t="shared" si="4"/>
        <v>-</v>
      </c>
      <c r="J29" s="187" t="str">
        <f t="shared" si="5"/>
        <v>-</v>
      </c>
      <c r="K29" s="187" t="str">
        <f t="shared" si="5"/>
        <v>-</v>
      </c>
      <c r="L29" s="184" t="str">
        <f t="shared" si="0"/>
        <v>-</v>
      </c>
      <c r="P29" s="146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 t="shared" si="3"/>
        <v>-</v>
      </c>
      <c r="I30" s="122" t="str">
        <f t="shared" si="4"/>
        <v>-</v>
      </c>
      <c r="J30" s="122" t="str">
        <f t="shared" si="5"/>
        <v>-</v>
      </c>
      <c r="K30" s="122" t="str">
        <f t="shared" si="5"/>
        <v>-</v>
      </c>
      <c r="L30" s="123" t="str">
        <f t="shared" si="0"/>
        <v>-</v>
      </c>
      <c r="P30" s="129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29" t="s">
        <v>790</v>
      </c>
      <c r="G31" s="129" t="s">
        <v>63</v>
      </c>
      <c r="H31" s="122">
        <f t="shared" si="3"/>
        <v>0</v>
      </c>
      <c r="I31" s="122">
        <v>1</v>
      </c>
      <c r="J31" s="122">
        <f t="shared" si="5"/>
        <v>0</v>
      </c>
      <c r="K31" s="122">
        <f t="shared" si="5"/>
        <v>0</v>
      </c>
      <c r="L31" s="123">
        <f t="shared" si="0"/>
        <v>1</v>
      </c>
      <c r="M31" s="303"/>
      <c r="N31" s="303"/>
      <c r="P31" s="129">
        <f t="shared" si="1"/>
        <v>0</v>
      </c>
      <c r="Q31" s="129" t="s">
        <v>281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 t="shared" si="3"/>
        <v>-</v>
      </c>
      <c r="I32" s="122" t="str">
        <f t="shared" si="4"/>
        <v>-</v>
      </c>
      <c r="J32" s="122" t="str">
        <f t="shared" si="5"/>
        <v>-</v>
      </c>
      <c r="K32" s="122" t="str">
        <f t="shared" si="5"/>
        <v>-</v>
      </c>
      <c r="L32" s="123" t="str">
        <f t="shared" si="0"/>
        <v>-</v>
      </c>
      <c r="P32" s="129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 t="shared" si="3"/>
        <v>-</v>
      </c>
      <c r="I33" s="122" t="str">
        <f t="shared" si="4"/>
        <v>-</v>
      </c>
      <c r="J33" s="122" t="str">
        <f t="shared" si="5"/>
        <v>-</v>
      </c>
      <c r="K33" s="122" t="str">
        <f t="shared" si="5"/>
        <v>-</v>
      </c>
      <c r="L33" s="123" t="str">
        <f t="shared" si="0"/>
        <v>-</v>
      </c>
      <c r="P33" s="129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113</v>
      </c>
      <c r="F34" s="149"/>
      <c r="G34" s="134" t="s">
        <v>63</v>
      </c>
      <c r="H34" s="122" t="str">
        <f t="shared" si="3"/>
        <v>-</v>
      </c>
      <c r="I34" s="122" t="str">
        <f t="shared" si="4"/>
        <v>-</v>
      </c>
      <c r="J34" s="122" t="str">
        <f t="shared" si="5"/>
        <v>-</v>
      </c>
      <c r="K34" s="122" t="str">
        <f t="shared" si="5"/>
        <v>-</v>
      </c>
      <c r="L34" s="138" t="str">
        <f t="shared" si="0"/>
        <v>-</v>
      </c>
      <c r="P34" s="134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113</v>
      </c>
      <c r="F35" s="154"/>
      <c r="G35" s="155" t="s">
        <v>74</v>
      </c>
      <c r="H35" s="156" t="str">
        <f t="shared" si="3"/>
        <v>-</v>
      </c>
      <c r="I35" s="156" t="str">
        <f t="shared" si="4"/>
        <v>-</v>
      </c>
      <c r="J35" s="156" t="str">
        <f t="shared" si="5"/>
        <v>-</v>
      </c>
      <c r="K35" s="156" t="str">
        <f t="shared" si="5"/>
        <v>-</v>
      </c>
      <c r="L35" s="138" t="str">
        <f t="shared" si="0"/>
        <v>-</v>
      </c>
      <c r="P35" s="155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113</v>
      </c>
      <c r="F36" s="128"/>
      <c r="G36" s="129" t="s">
        <v>103</v>
      </c>
      <c r="H36" s="122" t="str">
        <f t="shared" si="3"/>
        <v>-</v>
      </c>
      <c r="I36" s="122" t="str">
        <f t="shared" si="4"/>
        <v>-</v>
      </c>
      <c r="J36" s="122" t="str">
        <f t="shared" si="5"/>
        <v>-</v>
      </c>
      <c r="K36" s="122" t="str">
        <f t="shared" si="5"/>
        <v>-</v>
      </c>
      <c r="L36" s="123" t="str">
        <f t="shared" si="0"/>
        <v>-</v>
      </c>
      <c r="P36" s="129">
        <f t="shared" si="1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 t="shared" si="3"/>
        <v>-</v>
      </c>
      <c r="I37" s="122" t="str">
        <f t="shared" si="4"/>
        <v>-</v>
      </c>
      <c r="J37" s="122" t="str">
        <f t="shared" si="5"/>
        <v>-</v>
      </c>
      <c r="K37" s="122" t="str">
        <f t="shared" si="5"/>
        <v>-</v>
      </c>
      <c r="L37" s="123" t="str">
        <f t="shared" si="0"/>
        <v>-</v>
      </c>
      <c r="P37" s="129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29" t="s">
        <v>791</v>
      </c>
      <c r="G38" s="129" t="s">
        <v>103</v>
      </c>
      <c r="H38" s="122">
        <f>IF($E38="ne","-",)</f>
        <v>0</v>
      </c>
      <c r="I38" s="122">
        <f>2*15+4*5+6*15+8*10+10*14+12*9+14*14+16*6+18*14+20*49</f>
        <v>1992</v>
      </c>
      <c r="J38" s="122">
        <f>20*9+2*(3+3)</f>
        <v>192</v>
      </c>
      <c r="K38" s="122">
        <f>IF($E38="ne","-",)</f>
        <v>0</v>
      </c>
      <c r="L38" s="123">
        <f t="shared" si="0"/>
        <v>2184</v>
      </c>
      <c r="N38" s="303"/>
      <c r="P38" s="129">
        <f t="shared" si="1"/>
        <v>0</v>
      </c>
      <c r="Q38" s="129" t="s">
        <v>282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113</v>
      </c>
      <c r="F39" s="149"/>
      <c r="G39" s="134" t="s">
        <v>103</v>
      </c>
      <c r="H39" s="137" t="str">
        <f t="shared" si="3"/>
        <v>-</v>
      </c>
      <c r="I39" s="137" t="str">
        <f t="shared" si="4"/>
        <v>-</v>
      </c>
      <c r="J39" s="137" t="str">
        <f t="shared" si="5"/>
        <v>-</v>
      </c>
      <c r="K39" s="137" t="str">
        <f t="shared" si="5"/>
        <v>-</v>
      </c>
      <c r="L39" s="138" t="str">
        <f t="shared" si="0"/>
        <v>-</v>
      </c>
      <c r="P39" s="134">
        <f t="shared" si="1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325" t="s">
        <v>283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792</v>
      </c>
      <c r="G41" s="155" t="s">
        <v>74</v>
      </c>
      <c r="H41" s="156">
        <f t="shared" ref="H41:K67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P41" s="155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349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21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A44" s="114"/>
      <c r="B44" s="215"/>
      <c r="C44" s="114"/>
      <c r="D44" s="114"/>
      <c r="E44" s="113"/>
      <c r="F44" s="216"/>
      <c r="G44" s="114"/>
      <c r="H44" s="114"/>
      <c r="I44" s="114"/>
      <c r="J44" s="114"/>
      <c r="K44" s="114"/>
      <c r="L44" s="123"/>
      <c r="M44" s="114"/>
      <c r="N44" s="114"/>
      <c r="O44" s="114"/>
      <c r="P44" s="220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793</v>
      </c>
      <c r="G45" s="146" t="s">
        <v>74</v>
      </c>
      <c r="H45" s="187">
        <f t="shared" si="6"/>
        <v>0</v>
      </c>
      <c r="I45" s="187">
        <f t="shared" si="6"/>
        <v>0</v>
      </c>
      <c r="J45" s="187">
        <f t="shared" si="6"/>
        <v>0</v>
      </c>
      <c r="K45" s="187">
        <f t="shared" si="6"/>
        <v>0</v>
      </c>
      <c r="L45" s="184"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794</v>
      </c>
      <c r="G46" s="129" t="s">
        <v>74</v>
      </c>
      <c r="H46" s="122">
        <f t="shared" si="6"/>
        <v>0</v>
      </c>
      <c r="I46" s="122">
        <f t="shared" si="6"/>
        <v>0</v>
      </c>
      <c r="J46" s="122">
        <v>1</v>
      </c>
      <c r="K46" s="122">
        <f t="shared" si="6"/>
        <v>0</v>
      </c>
      <c r="L46" s="123">
        <f t="shared" ref="L46:L83" si="7">IF($E46="ne","-",H46+I46+J46+K46)</f>
        <v>1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795</v>
      </c>
      <c r="G47" s="129" t="s">
        <v>74</v>
      </c>
      <c r="H47" s="122">
        <f t="shared" si="6"/>
        <v>0</v>
      </c>
      <c r="I47" s="122">
        <f t="shared" si="6"/>
        <v>0</v>
      </c>
      <c r="J47" s="122">
        <v>1</v>
      </c>
      <c r="K47" s="122">
        <f t="shared" si="6"/>
        <v>0</v>
      </c>
      <c r="L47" s="123">
        <f t="shared" si="7"/>
        <v>1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796</v>
      </c>
      <c r="G48" s="129" t="s">
        <v>74</v>
      </c>
      <c r="H48" s="122">
        <f t="shared" si="6"/>
        <v>0</v>
      </c>
      <c r="I48" s="122">
        <f t="shared" si="6"/>
        <v>0</v>
      </c>
      <c r="J48" s="122">
        <v>1</v>
      </c>
      <c r="K48" s="122">
        <f t="shared" si="6"/>
        <v>0</v>
      </c>
      <c r="L48" s="123">
        <f t="shared" si="7"/>
        <v>1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797</v>
      </c>
      <c r="G49" s="129" t="s">
        <v>74</v>
      </c>
      <c r="H49" s="122">
        <f t="shared" si="6"/>
        <v>0</v>
      </c>
      <c r="I49" s="122">
        <v>5</v>
      </c>
      <c r="J49" s="122">
        <f t="shared" si="6"/>
        <v>0</v>
      </c>
      <c r="K49" s="122">
        <f t="shared" si="6"/>
        <v>0</v>
      </c>
      <c r="L49" s="123">
        <f t="shared" si="7"/>
        <v>5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798</v>
      </c>
      <c r="G50" s="129" t="s">
        <v>74</v>
      </c>
      <c r="H50" s="122">
        <f t="shared" si="6"/>
        <v>0</v>
      </c>
      <c r="I50" s="122">
        <v>2</v>
      </c>
      <c r="J50" s="122">
        <f t="shared" si="6"/>
        <v>0</v>
      </c>
      <c r="K50" s="122">
        <f t="shared" si="6"/>
        <v>0</v>
      </c>
      <c r="L50" s="123">
        <f t="shared" si="7"/>
        <v>2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799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2</v>
      </c>
      <c r="K51" s="122">
        <v>1</v>
      </c>
      <c r="L51" s="123">
        <f t="shared" si="7"/>
        <v>3</v>
      </c>
      <c r="P51" s="129">
        <f t="shared" si="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184">
        <f t="shared" si="7"/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800</v>
      </c>
      <c r="G55" s="129" t="s">
        <v>63</v>
      </c>
      <c r="H55" s="122">
        <f t="shared" si="6"/>
        <v>0</v>
      </c>
      <c r="I55" s="122">
        <f t="shared" si="6"/>
        <v>0</v>
      </c>
      <c r="J55" s="122">
        <f t="shared" si="6"/>
        <v>0</v>
      </c>
      <c r="K55" s="122">
        <v>10</v>
      </c>
      <c r="L55" s="123">
        <f t="shared" si="7"/>
        <v>10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801</v>
      </c>
      <c r="G56" s="129" t="s">
        <v>63</v>
      </c>
      <c r="H56" s="122">
        <f t="shared" si="6"/>
        <v>0</v>
      </c>
      <c r="I56" s="122">
        <v>6</v>
      </c>
      <c r="J56" s="122">
        <f t="shared" si="6"/>
        <v>0</v>
      </c>
      <c r="K56" s="122">
        <f t="shared" si="6"/>
        <v>0</v>
      </c>
      <c r="L56" s="123">
        <f t="shared" si="7"/>
        <v>6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802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803</v>
      </c>
      <c r="G58" s="129" t="s">
        <v>63</v>
      </c>
      <c r="H58" s="122">
        <f t="shared" si="6"/>
        <v>0</v>
      </c>
      <c r="I58" s="122">
        <v>6</v>
      </c>
      <c r="J58" s="122">
        <v>1</v>
      </c>
      <c r="K58" s="122">
        <f t="shared" si="6"/>
        <v>0</v>
      </c>
      <c r="L58" s="123">
        <f t="shared" si="7"/>
        <v>7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804</v>
      </c>
      <c r="G59" s="134" t="s">
        <v>63</v>
      </c>
      <c r="H59" s="137">
        <f t="shared" si="6"/>
        <v>0</v>
      </c>
      <c r="I59" s="137">
        <v>2</v>
      </c>
      <c r="J59" s="137">
        <f t="shared" si="6"/>
        <v>0</v>
      </c>
      <c r="K59" s="137">
        <f t="shared" si="6"/>
        <v>0</v>
      </c>
      <c r="L59" s="138">
        <f t="shared" si="7"/>
        <v>2</v>
      </c>
      <c r="P59" s="129">
        <f t="shared" si="1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805</v>
      </c>
      <c r="G60" s="146" t="s">
        <v>74</v>
      </c>
      <c r="H60" s="187">
        <f t="shared" si="6"/>
        <v>0</v>
      </c>
      <c r="I60" s="187">
        <f t="shared" si="6"/>
        <v>0</v>
      </c>
      <c r="J60" s="187">
        <v>2</v>
      </c>
      <c r="K60" s="187">
        <f t="shared" si="6"/>
        <v>0</v>
      </c>
      <c r="L60" s="184">
        <f t="shared" si="7"/>
        <v>2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284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285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806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>
        <f t="shared" si="6"/>
        <v>0</v>
      </c>
      <c r="I66" s="122">
        <f t="shared" si="6"/>
        <v>0</v>
      </c>
      <c r="J66" s="122">
        <f t="shared" si="6"/>
        <v>0</v>
      </c>
      <c r="K66" s="122">
        <f t="shared" si="6"/>
        <v>0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772</v>
      </c>
      <c r="G67" s="129" t="s">
        <v>74</v>
      </c>
      <c r="H67" s="122">
        <f t="shared" si="6"/>
        <v>0</v>
      </c>
      <c r="I67" s="122">
        <f t="shared" si="6"/>
        <v>0</v>
      </c>
      <c r="J67" s="122">
        <v>1</v>
      </c>
      <c r="K67" s="122">
        <f t="shared" si="6"/>
        <v>0</v>
      </c>
      <c r="L67" s="123">
        <f t="shared" si="7"/>
        <v>1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29" t="s">
        <v>807</v>
      </c>
      <c r="G68" s="129" t="s">
        <v>74</v>
      </c>
      <c r="H68" s="122">
        <v>0</v>
      </c>
      <c r="I68" s="122">
        <v>0</v>
      </c>
      <c r="J68" s="122">
        <v>2</v>
      </c>
      <c r="K68" s="122">
        <v>0</v>
      </c>
      <c r="L68" s="123">
        <f t="shared" si="7"/>
        <v>2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808</v>
      </c>
      <c r="G71" s="129" t="s">
        <v>74</v>
      </c>
      <c r="H71" s="122">
        <f t="shared" ref="H71:K86" si="8">IF($E71="ne","-",)</f>
        <v>0</v>
      </c>
      <c r="I71" s="122">
        <f t="shared" si="8"/>
        <v>0</v>
      </c>
      <c r="J71" s="122">
        <f t="shared" si="8"/>
        <v>0</v>
      </c>
      <c r="K71" s="122">
        <f t="shared" si="8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809</v>
      </c>
      <c r="G72" s="129" t="s">
        <v>74</v>
      </c>
      <c r="H72" s="122">
        <f t="shared" si="8"/>
        <v>0</v>
      </c>
      <c r="I72" s="122">
        <v>1</v>
      </c>
      <c r="J72" s="122">
        <f t="shared" si="8"/>
        <v>0</v>
      </c>
      <c r="K72" s="122">
        <f t="shared" si="8"/>
        <v>0</v>
      </c>
      <c r="L72" s="123">
        <f t="shared" si="7"/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810</v>
      </c>
      <c r="G73" s="129" t="s">
        <v>74</v>
      </c>
      <c r="H73" s="122">
        <f t="shared" si="8"/>
        <v>0</v>
      </c>
      <c r="I73" s="122">
        <v>1</v>
      </c>
      <c r="J73" s="122">
        <f t="shared" si="8"/>
        <v>0</v>
      </c>
      <c r="K73" s="122">
        <f t="shared" si="8"/>
        <v>0</v>
      </c>
      <c r="L73" s="123">
        <f t="shared" si="7"/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811</v>
      </c>
      <c r="G74" s="134" t="s">
        <v>74</v>
      </c>
      <c r="H74" s="137">
        <f t="shared" si="8"/>
        <v>0</v>
      </c>
      <c r="I74" s="137">
        <f t="shared" si="8"/>
        <v>0</v>
      </c>
      <c r="J74" s="137">
        <f t="shared" si="8"/>
        <v>0</v>
      </c>
      <c r="K74" s="137">
        <f t="shared" si="8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812</v>
      </c>
      <c r="G75" s="129" t="s">
        <v>74</v>
      </c>
      <c r="H75" s="122">
        <f t="shared" si="8"/>
        <v>0</v>
      </c>
      <c r="I75" s="122">
        <f t="shared" si="8"/>
        <v>0</v>
      </c>
      <c r="J75" s="122">
        <f t="shared" si="8"/>
        <v>0</v>
      </c>
      <c r="K75" s="122">
        <f t="shared" si="8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225</v>
      </c>
      <c r="F76" s="161" t="s">
        <v>813</v>
      </c>
      <c r="G76" s="129" t="s">
        <v>74</v>
      </c>
      <c r="H76" s="122">
        <f t="shared" si="8"/>
        <v>0</v>
      </c>
      <c r="I76" s="122">
        <f t="shared" si="8"/>
        <v>0</v>
      </c>
      <c r="J76" s="122">
        <f t="shared" si="8"/>
        <v>0</v>
      </c>
      <c r="K76" s="122">
        <f t="shared" si="8"/>
        <v>0</v>
      </c>
      <c r="L76" s="123">
        <v>0</v>
      </c>
      <c r="P76" s="129">
        <f t="shared" si="1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113</v>
      </c>
      <c r="F77" s="206"/>
      <c r="G77" s="134" t="s">
        <v>74</v>
      </c>
      <c r="H77" s="137" t="str">
        <f t="shared" si="8"/>
        <v>-</v>
      </c>
      <c r="I77" s="137" t="str">
        <f t="shared" si="8"/>
        <v>-</v>
      </c>
      <c r="J77" s="137" t="str">
        <f t="shared" si="8"/>
        <v>-</v>
      </c>
      <c r="K77" s="137" t="str">
        <f t="shared" si="8"/>
        <v>-</v>
      </c>
      <c r="L77" s="138" t="str">
        <f t="shared" si="7"/>
        <v>-</v>
      </c>
      <c r="P77" s="134">
        <f t="shared" ref="P77:P87" si="9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553</v>
      </c>
      <c r="G78" s="129" t="s">
        <v>74</v>
      </c>
      <c r="H78" s="122">
        <f t="shared" si="8"/>
        <v>0</v>
      </c>
      <c r="I78" s="122">
        <v>0</v>
      </c>
      <c r="J78" s="122">
        <f t="shared" si="8"/>
        <v>0</v>
      </c>
      <c r="K78" s="122">
        <f t="shared" si="8"/>
        <v>0</v>
      </c>
      <c r="L78" s="123">
        <v>1</v>
      </c>
      <c r="P78" s="129">
        <f t="shared" si="9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814</v>
      </c>
      <c r="G79" s="129" t="s">
        <v>74</v>
      </c>
      <c r="H79" s="122">
        <f t="shared" si="8"/>
        <v>0</v>
      </c>
      <c r="I79" s="122">
        <f t="shared" si="8"/>
        <v>0</v>
      </c>
      <c r="J79" s="122">
        <f t="shared" si="8"/>
        <v>0</v>
      </c>
      <c r="K79" s="122">
        <f t="shared" si="8"/>
        <v>0</v>
      </c>
      <c r="L79" s="123">
        <v>1</v>
      </c>
      <c r="P79" s="129">
        <f t="shared" si="9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8"/>
        <v>0</v>
      </c>
      <c r="I80" s="137">
        <f t="shared" si="8"/>
        <v>0</v>
      </c>
      <c r="J80" s="137">
        <f t="shared" si="8"/>
        <v>0</v>
      </c>
      <c r="K80" s="137">
        <f t="shared" si="8"/>
        <v>0</v>
      </c>
      <c r="L80" s="138">
        <v>1</v>
      </c>
      <c r="P80" s="134">
        <f t="shared" si="9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815</v>
      </c>
      <c r="G81" s="129" t="s">
        <v>74</v>
      </c>
      <c r="H81" s="122">
        <f t="shared" si="8"/>
        <v>0</v>
      </c>
      <c r="I81" s="122">
        <f t="shared" si="8"/>
        <v>0</v>
      </c>
      <c r="J81" s="122">
        <f t="shared" si="8"/>
        <v>0</v>
      </c>
      <c r="K81" s="122">
        <f t="shared" si="8"/>
        <v>0</v>
      </c>
      <c r="L81" s="123">
        <v>1</v>
      </c>
      <c r="P81" s="129">
        <f t="shared" si="9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8"/>
        <v>0</v>
      </c>
      <c r="I82" s="122">
        <v>1</v>
      </c>
      <c r="J82" s="122">
        <f t="shared" si="8"/>
        <v>0</v>
      </c>
      <c r="K82" s="122">
        <f t="shared" si="8"/>
        <v>0</v>
      </c>
      <c r="L82" s="123">
        <f>IF($E82="ne","-",H82+I82+J82+K82)</f>
        <v>1</v>
      </c>
      <c r="P82" s="129">
        <f t="shared" si="9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8"/>
        <v>0</v>
      </c>
      <c r="I83" s="137">
        <v>1</v>
      </c>
      <c r="J83" s="137">
        <f t="shared" si="8"/>
        <v>0</v>
      </c>
      <c r="K83" s="137">
        <f t="shared" si="8"/>
        <v>0</v>
      </c>
      <c r="L83" s="138">
        <f t="shared" si="7"/>
        <v>1</v>
      </c>
      <c r="P83" s="134">
        <f t="shared" si="9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816</v>
      </c>
      <c r="G84" s="134" t="s">
        <v>74</v>
      </c>
      <c r="H84" s="156">
        <f>IF($E84="ne","-",)</f>
        <v>0</v>
      </c>
      <c r="I84" s="156">
        <f>IF($E84="ne","-",)</f>
        <v>0</v>
      </c>
      <c r="J84" s="156">
        <f>IF($E84="ne","-",)</f>
        <v>0</v>
      </c>
      <c r="K84" s="156">
        <f>IF($E84="ne","-",)</f>
        <v>0</v>
      </c>
      <c r="L84" s="138">
        <v>1</v>
      </c>
      <c r="P84" s="134">
        <f t="shared" si="9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8"/>
        <v>0</v>
      </c>
      <c r="I85" s="156">
        <f t="shared" si="8"/>
        <v>0</v>
      </c>
      <c r="J85" s="156">
        <f t="shared" si="8"/>
        <v>0</v>
      </c>
      <c r="K85" s="156">
        <f t="shared" si="8"/>
        <v>0</v>
      </c>
      <c r="L85" s="138">
        <v>1</v>
      </c>
      <c r="P85" s="155">
        <f t="shared" si="9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817</v>
      </c>
      <c r="G86" s="155" t="s">
        <v>74</v>
      </c>
      <c r="H86" s="155">
        <f t="shared" si="8"/>
        <v>0</v>
      </c>
      <c r="I86" s="155">
        <f t="shared" si="8"/>
        <v>0</v>
      </c>
      <c r="J86" s="155">
        <f t="shared" si="8"/>
        <v>0</v>
      </c>
      <c r="K86" s="155">
        <f t="shared" si="8"/>
        <v>0</v>
      </c>
      <c r="L86" s="160">
        <v>1</v>
      </c>
      <c r="M86" s="155"/>
      <c r="N86" s="155"/>
      <c r="O86" s="155"/>
      <c r="P86" s="155">
        <f t="shared" si="9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9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349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1" spans="1:17" x14ac:dyDescent="0.25">
      <c r="A91" s="222" t="s">
        <v>86</v>
      </c>
      <c r="B91" s="143"/>
      <c r="C91" s="146" t="s">
        <v>271</v>
      </c>
      <c r="D91" s="146"/>
      <c r="E91" s="144" t="s">
        <v>62</v>
      </c>
      <c r="F91" s="195"/>
      <c r="G91" s="146">
        <v>1</v>
      </c>
      <c r="H91" s="146"/>
      <c r="I91" s="146"/>
      <c r="J91" s="146"/>
      <c r="K91" s="146"/>
      <c r="L91" s="146"/>
      <c r="M91" s="146"/>
      <c r="N91" s="146"/>
      <c r="O91" s="146"/>
      <c r="P91" s="146"/>
      <c r="Q91" s="146"/>
    </row>
    <row r="92" spans="1:17" x14ac:dyDescent="0.25">
      <c r="A92" s="350" t="s">
        <v>86</v>
      </c>
      <c r="C92" s="129" t="s">
        <v>272</v>
      </c>
      <c r="E92" s="121" t="s">
        <v>62</v>
      </c>
      <c r="F92" s="161" t="s">
        <v>273</v>
      </c>
      <c r="G92" s="129">
        <v>1</v>
      </c>
      <c r="P92" s="232"/>
    </row>
    <row r="93" spans="1:17" x14ac:dyDescent="0.25">
      <c r="A93" s="350" t="s">
        <v>86</v>
      </c>
      <c r="C93" s="129" t="s">
        <v>274</v>
      </c>
      <c r="E93" s="121" t="s">
        <v>62</v>
      </c>
      <c r="G93" s="129">
        <v>1</v>
      </c>
      <c r="P93" s="232"/>
    </row>
    <row r="94" spans="1:17" x14ac:dyDescent="0.25">
      <c r="A94" s="350" t="s">
        <v>86</v>
      </c>
      <c r="C94" s="129" t="s">
        <v>275</v>
      </c>
      <c r="E94" s="121" t="s">
        <v>62</v>
      </c>
      <c r="F94" s="108" t="s">
        <v>276</v>
      </c>
      <c r="G94" s="129" t="s">
        <v>74</v>
      </c>
      <c r="P94" s="232"/>
    </row>
    <row r="95" spans="1:17" ht="15" thickBot="1" x14ac:dyDescent="0.3">
      <c r="A95" s="350" t="s">
        <v>86</v>
      </c>
      <c r="C95" s="129" t="s">
        <v>277</v>
      </c>
      <c r="E95" s="121" t="s">
        <v>62</v>
      </c>
      <c r="G95" s="129">
        <v>1</v>
      </c>
      <c r="P95" s="232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351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51">
        <f>P98*(1+P100)</f>
        <v>0</v>
      </c>
    </row>
  </sheetData>
  <autoFilter ref="B2:Q2" xr:uid="{B02B0A38-8D86-4EC5-97E5-74611AC52359}"/>
  <mergeCells count="3">
    <mergeCell ref="H1:L1"/>
    <mergeCell ref="A98:O98"/>
    <mergeCell ref="A102:O102"/>
  </mergeCells>
  <conditionalFormatting sqref="E71:E89 E5:E23 E26:E69">
    <cfRule type="cellIs" dxfId="360" priority="39" operator="equal">
      <formula>"ne"</formula>
    </cfRule>
  </conditionalFormatting>
  <conditionalFormatting sqref="E91">
    <cfRule type="cellIs" dxfId="359" priority="27" operator="equal">
      <formula>"ne"</formula>
    </cfRule>
  </conditionalFormatting>
  <conditionalFormatting sqref="E96">
    <cfRule type="cellIs" dxfId="358" priority="23" operator="equal">
      <formula>"ne"</formula>
    </cfRule>
  </conditionalFormatting>
  <conditionalFormatting sqref="H3:K3">
    <cfRule type="cellIs" dxfId="357" priority="72" operator="between">
      <formula>0.0001</formula>
      <formula>1000</formula>
    </cfRule>
  </conditionalFormatting>
  <conditionalFormatting sqref="H71:K89 H3:K23 H26:K69">
    <cfRule type="cellIs" dxfId="356" priority="36" operator="equal">
      <formula>"-"</formula>
    </cfRule>
  </conditionalFormatting>
  <conditionalFormatting sqref="H4:K5">
    <cfRule type="cellIs" dxfId="355" priority="95" operator="between">
      <formula>0.0001</formula>
      <formula>10000</formula>
    </cfRule>
  </conditionalFormatting>
  <conditionalFormatting sqref="H6:K8">
    <cfRule type="cellIs" dxfId="354" priority="79" operator="between">
      <formula>0.0001</formula>
      <formula>1000</formula>
    </cfRule>
  </conditionalFormatting>
  <conditionalFormatting sqref="H28:K41 H45:K68 H9:K23">
    <cfRule type="cellIs" dxfId="353" priority="70" operator="between">
      <formula>0.0001</formula>
      <formula>10000</formula>
    </cfRule>
  </conditionalFormatting>
  <conditionalFormatting sqref="H26:K27">
    <cfRule type="cellIs" dxfId="352" priority="56" operator="between">
      <formula>0.0001</formula>
      <formula>1000</formula>
    </cfRule>
  </conditionalFormatting>
  <conditionalFormatting sqref="H42:K44">
    <cfRule type="cellIs" dxfId="351" priority="49" operator="between">
      <formula>0.0001</formula>
      <formula>1000</formula>
    </cfRule>
  </conditionalFormatting>
  <conditionalFormatting sqref="H69:K69 H71:K89">
    <cfRule type="cellIs" dxfId="350" priority="35" operator="between">
      <formula>0.0001</formula>
      <formula>1000</formula>
    </cfRule>
  </conditionalFormatting>
  <conditionalFormatting sqref="H96:K96">
    <cfRule type="cellIs" dxfId="349" priority="21" operator="between">
      <formula>0.0001</formula>
      <formula>1000</formula>
    </cfRule>
    <cfRule type="cellIs" dxfId="348" priority="22" operator="equal">
      <formula>"-"</formula>
    </cfRule>
  </conditionalFormatting>
  <conditionalFormatting sqref="L26">
    <cfRule type="cellIs" dxfId="347" priority="58" operator="equal">
      <formula>0</formula>
    </cfRule>
  </conditionalFormatting>
  <conditionalFormatting sqref="L42">
    <cfRule type="cellIs" dxfId="346" priority="51" operator="equal">
      <formula>0</formula>
    </cfRule>
  </conditionalFormatting>
  <conditionalFormatting sqref="L88">
    <cfRule type="cellIs" dxfId="345" priority="45" operator="equal">
      <formula>0</formula>
    </cfRule>
  </conditionalFormatting>
  <conditionalFormatting sqref="E70">
    <cfRule type="cellIs" dxfId="344" priority="20" operator="equal">
      <formula>"ne"</formula>
    </cfRule>
  </conditionalFormatting>
  <conditionalFormatting sqref="H70:K70">
    <cfRule type="cellIs" dxfId="343" priority="18" operator="between">
      <formula>0.0001</formula>
      <formula>1000</formula>
    </cfRule>
    <cfRule type="cellIs" dxfId="342" priority="19" operator="equal">
      <formula>"-"</formula>
    </cfRule>
  </conditionalFormatting>
  <conditionalFormatting sqref="L70">
    <cfRule type="cellIs" dxfId="341" priority="17" operator="equal">
      <formula>0</formula>
    </cfRule>
  </conditionalFormatting>
  <conditionalFormatting sqref="E25">
    <cfRule type="cellIs" dxfId="340" priority="9" operator="equal">
      <formula>"ne"</formula>
    </cfRule>
  </conditionalFormatting>
  <conditionalFormatting sqref="H25:K25">
    <cfRule type="cellIs" dxfId="339" priority="8" operator="equal">
      <formula>"-"</formula>
    </cfRule>
  </conditionalFormatting>
  <conditionalFormatting sqref="H25:K25">
    <cfRule type="cellIs" dxfId="338" priority="10" operator="between">
      <formula>0.0001</formula>
      <formula>1000</formula>
    </cfRule>
  </conditionalFormatting>
  <conditionalFormatting sqref="E24:E25">
    <cfRule type="cellIs" dxfId="337" priority="7" operator="equal">
      <formula>"ne"</formula>
    </cfRule>
  </conditionalFormatting>
  <conditionalFormatting sqref="H24:K25">
    <cfRule type="cellIs" dxfId="336" priority="5" operator="between">
      <formula>0.0001</formula>
      <formula>1000</formula>
    </cfRule>
    <cfRule type="cellIs" dxfId="335" priority="6" operator="equal">
      <formula>"-"</formula>
    </cfRule>
  </conditionalFormatting>
  <conditionalFormatting sqref="L24:L25">
    <cfRule type="cellIs" dxfId="334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A4C9-C482-4E42-A99C-22D2022D9365}">
  <sheetPr>
    <tabColor theme="9" tint="0.39997558519241921"/>
  </sheetPr>
  <dimension ref="A1:Q104"/>
  <sheetViews>
    <sheetView zoomScale="80" zoomScaleNormal="80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738</v>
      </c>
      <c r="G3" s="129" t="s">
        <v>103</v>
      </c>
      <c r="H3" s="121">
        <f>16+68+14+14</f>
        <v>112</v>
      </c>
      <c r="K3" s="121">
        <f>41+73+11+94+356</f>
        <v>575</v>
      </c>
      <c r="L3" s="123">
        <f t="shared" ref="L3:L38" si="0">IF($E3="ne","-",H3+I3+J3+K3)</f>
        <v>687</v>
      </c>
      <c r="M3" s="124"/>
      <c r="N3" s="124"/>
      <c r="O3" s="278"/>
      <c r="P3" s="124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739</v>
      </c>
      <c r="G4" s="129" t="s">
        <v>103</v>
      </c>
      <c r="H4" s="122">
        <f>IF($E4="ne","-",)</f>
        <v>0</v>
      </c>
      <c r="I4" s="122">
        <f>222+(6*10)+10+10+6+5</f>
        <v>313</v>
      </c>
      <c r="J4" s="122">
        <v>12</v>
      </c>
      <c r="K4" s="122">
        <v>41</v>
      </c>
      <c r="L4" s="123">
        <f t="shared" si="0"/>
        <v>366</v>
      </c>
      <c r="M4" s="130"/>
      <c r="N4" s="130"/>
      <c r="O4" s="130"/>
      <c r="P4" s="124">
        <f t="shared" ref="P4:P76" si="1">IFERROR(N4+O4,"-")</f>
        <v>0</v>
      </c>
      <c r="Q4" s="129" t="s">
        <v>287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28"/>
      <c r="G5" s="129" t="s">
        <v>103</v>
      </c>
      <c r="H5" s="122">
        <v>0</v>
      </c>
      <c r="I5" s="122" t="str">
        <f t="shared" ref="I5:K18" si="2">IF($E5="ne","-",)</f>
        <v>-</v>
      </c>
      <c r="J5" s="122" t="str">
        <f t="shared" si="2"/>
        <v>-</v>
      </c>
      <c r="K5" s="122" t="str">
        <f t="shared" si="2"/>
        <v>-</v>
      </c>
      <c r="L5" s="123" t="str">
        <f t="shared" si="0"/>
        <v>-</v>
      </c>
      <c r="M5" s="130"/>
      <c r="N5" s="130"/>
      <c r="O5" s="130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740</v>
      </c>
      <c r="G6" s="129" t="s">
        <v>103</v>
      </c>
      <c r="H6" s="122">
        <f>24+7+67+(120*2)+30</f>
        <v>368</v>
      </c>
      <c r="I6" s="122">
        <f t="shared" si="2"/>
        <v>0</v>
      </c>
      <c r="J6" s="122">
        <f t="shared" si="2"/>
        <v>0</v>
      </c>
      <c r="K6" s="122">
        <f t="shared" si="2"/>
        <v>0</v>
      </c>
      <c r="L6" s="123">
        <f t="shared" si="0"/>
        <v>368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741</v>
      </c>
      <c r="G7" s="129" t="s">
        <v>103</v>
      </c>
      <c r="H7" s="122">
        <f>109+10+44+45+37+9</f>
        <v>254</v>
      </c>
      <c r="I7" s="122">
        <f t="shared" si="2"/>
        <v>0</v>
      </c>
      <c r="J7" s="122">
        <f t="shared" si="2"/>
        <v>0</v>
      </c>
      <c r="K7" s="122">
        <f t="shared" si="2"/>
        <v>0</v>
      </c>
      <c r="L7" s="123">
        <f t="shared" si="0"/>
        <v>254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11" t="s">
        <v>742</v>
      </c>
      <c r="G8" s="129" t="s">
        <v>103</v>
      </c>
      <c r="H8" s="122">
        <v>0</v>
      </c>
      <c r="I8" s="122">
        <f t="shared" si="2"/>
        <v>0</v>
      </c>
      <c r="J8" s="122">
        <f t="shared" si="2"/>
        <v>0</v>
      </c>
      <c r="K8" s="122">
        <v>24</v>
      </c>
      <c r="L8" s="123">
        <f t="shared" si="0"/>
        <v>24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62</v>
      </c>
      <c r="F9" s="131" t="s">
        <v>743</v>
      </c>
      <c r="G9" s="129" t="s">
        <v>103</v>
      </c>
      <c r="H9" s="122">
        <v>137</v>
      </c>
      <c r="I9" s="122">
        <f t="shared" si="2"/>
        <v>0</v>
      </c>
      <c r="J9" s="122">
        <f t="shared" si="2"/>
        <v>0</v>
      </c>
      <c r="K9" s="122">
        <f t="shared" si="2"/>
        <v>0</v>
      </c>
      <c r="L9" s="123">
        <f t="shared" si="0"/>
        <v>137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62</v>
      </c>
      <c r="F10" s="131" t="s">
        <v>744</v>
      </c>
      <c r="G10" s="129" t="s">
        <v>103</v>
      </c>
      <c r="H10" s="122">
        <f t="shared" ref="H10:H38" si="3">IF($E10="ne","-",)</f>
        <v>0</v>
      </c>
      <c r="I10" s="290">
        <v>8</v>
      </c>
      <c r="J10" s="122">
        <f t="shared" si="2"/>
        <v>0</v>
      </c>
      <c r="K10" s="122">
        <v>935</v>
      </c>
      <c r="L10" s="123">
        <f t="shared" si="0"/>
        <v>943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745</v>
      </c>
      <c r="G11" s="129" t="s">
        <v>103</v>
      </c>
      <c r="H11" s="122">
        <f t="shared" si="3"/>
        <v>0</v>
      </c>
      <c r="I11" s="122">
        <f t="shared" si="2"/>
        <v>0</v>
      </c>
      <c r="J11" s="122">
        <f t="shared" si="2"/>
        <v>0</v>
      </c>
      <c r="K11" s="122">
        <v>100</v>
      </c>
      <c r="L11" s="123">
        <f t="shared" si="0"/>
        <v>100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62</v>
      </c>
      <c r="F12" s="131" t="s">
        <v>746</v>
      </c>
      <c r="G12" s="129" t="s">
        <v>74</v>
      </c>
      <c r="H12" s="122">
        <f t="shared" si="3"/>
        <v>0</v>
      </c>
      <c r="I12" s="122">
        <f t="shared" si="2"/>
        <v>0</v>
      </c>
      <c r="J12" s="122">
        <f t="shared" si="2"/>
        <v>0</v>
      </c>
      <c r="K12" s="122">
        <f t="shared" si="2"/>
        <v>0</v>
      </c>
      <c r="L12" s="123">
        <v>1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747</v>
      </c>
      <c r="G13" s="129" t="s">
        <v>74</v>
      </c>
      <c r="H13" s="122">
        <f t="shared" si="3"/>
        <v>0</v>
      </c>
      <c r="I13" s="122">
        <f t="shared" si="2"/>
        <v>0</v>
      </c>
      <c r="J13" s="122">
        <f t="shared" si="2"/>
        <v>0</v>
      </c>
      <c r="K13" s="122">
        <f t="shared" si="2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31" t="s">
        <v>748</v>
      </c>
      <c r="G14" s="129" t="s">
        <v>74</v>
      </c>
      <c r="H14" s="122"/>
      <c r="I14" s="122"/>
      <c r="J14" s="122"/>
      <c r="K14" s="122"/>
      <c r="L14" s="123">
        <v>1</v>
      </c>
      <c r="M14" s="130"/>
      <c r="N14" s="130"/>
      <c r="O14" s="130"/>
      <c r="P14" s="130">
        <f>IFERROR(N14+O14,"-")</f>
        <v>0</v>
      </c>
    </row>
    <row r="15" spans="1:17" ht="15" thickBot="1" x14ac:dyDescent="0.3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2"/>
        <v>-</v>
      </c>
      <c r="L15" s="123" t="str">
        <f t="shared" si="0"/>
        <v>-</v>
      </c>
      <c r="M15" s="130"/>
      <c r="N15" s="130"/>
      <c r="O15" s="130"/>
      <c r="P15" s="130">
        <f t="shared" si="1"/>
        <v>0</v>
      </c>
    </row>
    <row r="16" spans="1:17" s="134" customFormat="1" ht="29.25" thickBot="1" x14ac:dyDescent="0.3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131" t="s">
        <v>749</v>
      </c>
      <c r="G16" s="134" t="s">
        <v>103</v>
      </c>
      <c r="H16" s="137">
        <v>22</v>
      </c>
      <c r="I16" s="137">
        <f t="shared" si="2"/>
        <v>0</v>
      </c>
      <c r="J16" s="137">
        <f t="shared" si="2"/>
        <v>0</v>
      </c>
      <c r="K16" s="137">
        <f t="shared" si="2"/>
        <v>0</v>
      </c>
      <c r="L16" s="138">
        <f>22+14</f>
        <v>36</v>
      </c>
      <c r="M16" s="139"/>
      <c r="N16" s="139"/>
      <c r="O16" s="139"/>
      <c r="P16" s="321">
        <f t="shared" si="1"/>
        <v>0</v>
      </c>
      <c r="Q16" s="322" t="s">
        <v>288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 t="shared" si="3"/>
        <v>-</v>
      </c>
      <c r="I17" s="122" t="str">
        <f t="shared" si="2"/>
        <v>-</v>
      </c>
      <c r="J17" s="122" t="str">
        <f t="shared" si="2"/>
        <v>-</v>
      </c>
      <c r="K17" s="122" t="str">
        <f t="shared" si="2"/>
        <v>-</v>
      </c>
      <c r="L17" s="123" t="str">
        <f t="shared" si="0"/>
        <v>-</v>
      </c>
      <c r="M17" s="147"/>
      <c r="N17" s="147"/>
      <c r="O17" s="147"/>
      <c r="P17" s="130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1" t="s">
        <v>750</v>
      </c>
      <c r="G18" s="134" t="s">
        <v>63</v>
      </c>
      <c r="H18" s="137">
        <v>6</v>
      </c>
      <c r="I18" s="137">
        <v>1</v>
      </c>
      <c r="J18" s="137">
        <f t="shared" si="2"/>
        <v>0</v>
      </c>
      <c r="K18" s="137">
        <f t="shared" si="2"/>
        <v>0</v>
      </c>
      <c r="L18" s="138">
        <f t="shared" si="0"/>
        <v>7</v>
      </c>
      <c r="M18" s="139"/>
      <c r="N18" s="139"/>
      <c r="O18" s="139"/>
      <c r="P18" s="130">
        <f t="shared" si="1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3"/>
        <v>-</v>
      </c>
      <c r="I19" s="122" t="str">
        <f t="shared" ref="I19:I39" si="4">IF($E19="ne","-",)</f>
        <v>-</v>
      </c>
      <c r="J19" s="122" t="str">
        <f t="shared" ref="J19:K39" si="5">IF($E19="ne","-",)</f>
        <v>-</v>
      </c>
      <c r="K19" s="122" t="str">
        <f t="shared" si="5"/>
        <v>-</v>
      </c>
      <c r="L19" s="123" t="str">
        <f t="shared" si="0"/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113</v>
      </c>
      <c r="F20" s="128"/>
      <c r="G20" s="129" t="s">
        <v>63</v>
      </c>
      <c r="H20" s="122" t="str">
        <f t="shared" si="3"/>
        <v>-</v>
      </c>
      <c r="I20" s="122" t="str">
        <f t="shared" si="4"/>
        <v>-</v>
      </c>
      <c r="J20" s="122" t="str">
        <f t="shared" si="5"/>
        <v>-</v>
      </c>
      <c r="K20" s="122" t="str">
        <f t="shared" si="5"/>
        <v>-</v>
      </c>
      <c r="L20" s="123" t="str">
        <f t="shared" si="0"/>
        <v>-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 t="shared" si="3"/>
        <v>-</v>
      </c>
      <c r="I21" s="122" t="str">
        <f t="shared" si="4"/>
        <v>-</v>
      </c>
      <c r="J21" s="122" t="str">
        <f t="shared" si="5"/>
        <v>-</v>
      </c>
      <c r="K21" s="122" t="str">
        <f t="shared" si="5"/>
        <v>-</v>
      </c>
      <c r="L21" s="138" t="str">
        <f t="shared" si="0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751</v>
      </c>
      <c r="G22" s="155" t="s">
        <v>74</v>
      </c>
      <c r="H22" s="156">
        <f t="shared" si="3"/>
        <v>0</v>
      </c>
      <c r="I22" s="156">
        <f t="shared" si="4"/>
        <v>0</v>
      </c>
      <c r="J22" s="156">
        <f t="shared" si="5"/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752</v>
      </c>
      <c r="G23" s="155" t="s">
        <v>74</v>
      </c>
      <c r="H23" s="156">
        <f t="shared" si="3"/>
        <v>0</v>
      </c>
      <c r="I23" s="156">
        <f t="shared" si="4"/>
        <v>0</v>
      </c>
      <c r="J23" s="156">
        <f t="shared" si="5"/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1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1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753</v>
      </c>
      <c r="G29" s="146" t="s">
        <v>63</v>
      </c>
      <c r="H29" s="187">
        <v>6</v>
      </c>
      <c r="I29" s="187">
        <v>1</v>
      </c>
      <c r="J29" s="187">
        <f t="shared" si="5"/>
        <v>0</v>
      </c>
      <c r="K29" s="187">
        <f t="shared" si="5"/>
        <v>0</v>
      </c>
      <c r="L29" s="184">
        <f t="shared" si="0"/>
        <v>7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 t="shared" si="3"/>
        <v>-</v>
      </c>
      <c r="I30" s="122" t="str">
        <f t="shared" si="4"/>
        <v>-</v>
      </c>
      <c r="J30" s="122" t="str">
        <f t="shared" si="5"/>
        <v>-</v>
      </c>
      <c r="K30" s="122" t="str">
        <f t="shared" si="5"/>
        <v>-</v>
      </c>
      <c r="L30" s="123" t="str">
        <f t="shared" si="0"/>
        <v>-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113</v>
      </c>
      <c r="F31" s="128"/>
      <c r="G31" s="129" t="s">
        <v>63</v>
      </c>
      <c r="H31" s="122" t="str">
        <f t="shared" si="3"/>
        <v>-</v>
      </c>
      <c r="I31" s="122" t="str">
        <f t="shared" si="4"/>
        <v>-</v>
      </c>
      <c r="J31" s="122" t="str">
        <f t="shared" si="5"/>
        <v>-</v>
      </c>
      <c r="K31" s="122" t="str">
        <f t="shared" si="5"/>
        <v>-</v>
      </c>
      <c r="L31" s="123" t="str">
        <f t="shared" si="0"/>
        <v>-</v>
      </c>
      <c r="M31" s="175"/>
      <c r="N31" s="323"/>
      <c r="O31" s="175"/>
      <c r="P31" s="324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F32" s="128"/>
      <c r="G32" s="129" t="s">
        <v>63</v>
      </c>
      <c r="H32" s="122" t="str">
        <f t="shared" si="3"/>
        <v>-</v>
      </c>
      <c r="I32" s="122" t="str">
        <f t="shared" si="4"/>
        <v>-</v>
      </c>
      <c r="J32" s="122" t="str">
        <f t="shared" si="5"/>
        <v>-</v>
      </c>
      <c r="K32" s="122" t="str">
        <f t="shared" si="5"/>
        <v>-</v>
      </c>
      <c r="L32" s="123" t="str">
        <f t="shared" si="0"/>
        <v>-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 t="shared" si="3"/>
        <v>-</v>
      </c>
      <c r="I33" s="122" t="str">
        <f t="shared" si="4"/>
        <v>-</v>
      </c>
      <c r="J33" s="122" t="str">
        <f t="shared" si="5"/>
        <v>-</v>
      </c>
      <c r="K33" s="122" t="str">
        <f t="shared" si="5"/>
        <v>-</v>
      </c>
      <c r="L33" s="123" t="str">
        <f t="shared" si="0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131" t="s">
        <v>754</v>
      </c>
      <c r="G34" s="134" t="s">
        <v>63</v>
      </c>
      <c r="H34" s="122">
        <v>2</v>
      </c>
      <c r="I34" s="122">
        <f t="shared" si="4"/>
        <v>0</v>
      </c>
      <c r="J34" s="122">
        <f t="shared" si="5"/>
        <v>0</v>
      </c>
      <c r="K34" s="122">
        <f t="shared" si="5"/>
        <v>0</v>
      </c>
      <c r="L34" s="138">
        <f t="shared" si="0"/>
        <v>2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1" t="s">
        <v>755</v>
      </c>
      <c r="G35" s="155" t="s">
        <v>74</v>
      </c>
      <c r="H35" s="156">
        <v>2</v>
      </c>
      <c r="I35" s="156">
        <f t="shared" si="4"/>
        <v>0</v>
      </c>
      <c r="J35" s="156">
        <f t="shared" si="5"/>
        <v>0</v>
      </c>
      <c r="K35" s="156">
        <f t="shared" si="5"/>
        <v>0</v>
      </c>
      <c r="L35" s="138">
        <f t="shared" si="0"/>
        <v>2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756</v>
      </c>
      <c r="G36" s="129" t="s">
        <v>74</v>
      </c>
      <c r="H36" s="122">
        <f>2*(4+5+4+5+4+4)</f>
        <v>52</v>
      </c>
      <c r="I36" s="122">
        <f t="shared" si="4"/>
        <v>0</v>
      </c>
      <c r="J36" s="122">
        <f t="shared" si="5"/>
        <v>0</v>
      </c>
      <c r="K36" s="122">
        <f t="shared" si="5"/>
        <v>0</v>
      </c>
      <c r="L36" s="123">
        <v>7</v>
      </c>
      <c r="M36" s="175"/>
      <c r="N36" s="175"/>
      <c r="O36" s="175"/>
      <c r="P36" s="175">
        <f t="shared" si="1"/>
        <v>0</v>
      </c>
      <c r="Q36" s="129" t="s">
        <v>289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 t="shared" si="3"/>
        <v>-</v>
      </c>
      <c r="I37" s="122" t="str">
        <f t="shared" si="4"/>
        <v>-</v>
      </c>
      <c r="J37" s="122" t="str">
        <f t="shared" si="5"/>
        <v>-</v>
      </c>
      <c r="K37" s="122" t="str">
        <f t="shared" si="5"/>
        <v>-</v>
      </c>
      <c r="L37" s="123" t="str">
        <f t="shared" si="0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113</v>
      </c>
      <c r="F38" s="128"/>
      <c r="G38" s="129" t="s">
        <v>103</v>
      </c>
      <c r="H38" s="122" t="str">
        <f t="shared" si="3"/>
        <v>-</v>
      </c>
      <c r="I38" s="122" t="str">
        <f t="shared" si="4"/>
        <v>-</v>
      </c>
      <c r="J38" s="122" t="str">
        <f t="shared" si="5"/>
        <v>-</v>
      </c>
      <c r="K38" s="122" t="str">
        <f t="shared" si="5"/>
        <v>-</v>
      </c>
      <c r="L38" s="123" t="str">
        <f t="shared" si="0"/>
        <v>-</v>
      </c>
      <c r="M38" s="175"/>
      <c r="N38" s="323"/>
      <c r="O38" s="175"/>
      <c r="P38" s="324">
        <f t="shared" si="1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131" t="s">
        <v>754</v>
      </c>
      <c r="G39" s="134" t="s">
        <v>103</v>
      </c>
      <c r="H39" s="137">
        <f>6+10</f>
        <v>16</v>
      </c>
      <c r="I39" s="137">
        <f t="shared" si="4"/>
        <v>0</v>
      </c>
      <c r="J39" s="137">
        <f t="shared" si="5"/>
        <v>0</v>
      </c>
      <c r="K39" s="137">
        <f t="shared" si="5"/>
        <v>0</v>
      </c>
      <c r="L39" s="138">
        <v>16</v>
      </c>
      <c r="M39" s="139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28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M40" s="178"/>
      <c r="N40" s="178"/>
      <c r="O40" s="178"/>
      <c r="P40" s="178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757</v>
      </c>
      <c r="G41" s="155" t="s">
        <v>74</v>
      </c>
      <c r="H41" s="156">
        <f t="shared" ref="H41:K67" si="6">IF($E41="ne","-",)</f>
        <v>0</v>
      </c>
      <c r="I41" s="156">
        <f t="shared" si="6"/>
        <v>0</v>
      </c>
      <c r="J41" s="156">
        <f t="shared" si="6"/>
        <v>0</v>
      </c>
      <c r="K41" s="156">
        <f t="shared" si="6"/>
        <v>0</v>
      </c>
      <c r="L41" s="138">
        <v>1</v>
      </c>
      <c r="M41" s="181"/>
      <c r="N41" s="181"/>
      <c r="O41" s="181"/>
      <c r="P41" s="181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758</v>
      </c>
      <c r="G45" s="146" t="s">
        <v>74</v>
      </c>
      <c r="H45" s="187">
        <f t="shared" si="6"/>
        <v>0</v>
      </c>
      <c r="I45" s="187">
        <v>1</v>
      </c>
      <c r="J45" s="187">
        <f t="shared" si="6"/>
        <v>0</v>
      </c>
      <c r="K45" s="187">
        <f t="shared" si="6"/>
        <v>0</v>
      </c>
      <c r="L45" s="184">
        <f t="shared" ref="L45:L83" si="7">IF($E45="ne","-",H45+I45+J45+K45)</f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759</v>
      </c>
      <c r="G46" s="129" t="s">
        <v>74</v>
      </c>
      <c r="H46" s="122">
        <v>3</v>
      </c>
      <c r="I46" s="122">
        <v>6</v>
      </c>
      <c r="J46" s="122">
        <f>IF($E46="ne","-",)</f>
        <v>0</v>
      </c>
      <c r="K46" s="122">
        <f>IF($E46="ne","-",)</f>
        <v>0</v>
      </c>
      <c r="L46" s="123">
        <f>IF($E46="ne","-",H46+I46+J46+K46)</f>
        <v>9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760</v>
      </c>
      <c r="G47" s="129" t="s">
        <v>74</v>
      </c>
      <c r="H47" s="122">
        <v>1</v>
      </c>
      <c r="I47" s="122">
        <v>1</v>
      </c>
      <c r="J47" s="122">
        <f>IF($E47="ne","-",)</f>
        <v>0</v>
      </c>
      <c r="K47" s="122">
        <f>IF($E47="ne","-",)</f>
        <v>0</v>
      </c>
      <c r="L47" s="123">
        <f>IF($E47="ne","-",H47+I47+J47+K47)</f>
        <v>2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761</v>
      </c>
      <c r="G48" s="129" t="s">
        <v>74</v>
      </c>
      <c r="H48" s="122">
        <v>1</v>
      </c>
      <c r="I48" s="122">
        <v>1</v>
      </c>
      <c r="J48" s="122">
        <f t="shared" si="6"/>
        <v>0</v>
      </c>
      <c r="K48" s="122">
        <f t="shared" si="6"/>
        <v>0</v>
      </c>
      <c r="L48" s="123">
        <f t="shared" si="7"/>
        <v>2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762</v>
      </c>
      <c r="G49" s="129" t="s">
        <v>74</v>
      </c>
      <c r="H49" s="122">
        <v>3</v>
      </c>
      <c r="I49" s="122">
        <v>5</v>
      </c>
      <c r="J49" s="122">
        <f t="shared" si="6"/>
        <v>0</v>
      </c>
      <c r="K49" s="122">
        <f t="shared" si="6"/>
        <v>0</v>
      </c>
      <c r="L49" s="123">
        <f t="shared" si="7"/>
        <v>8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763</v>
      </c>
      <c r="G50" s="129" t="s">
        <v>74</v>
      </c>
      <c r="H50" s="122">
        <v>6</v>
      </c>
      <c r="I50" s="122">
        <v>6</v>
      </c>
      <c r="J50" s="122">
        <f t="shared" si="6"/>
        <v>0</v>
      </c>
      <c r="K50" s="122">
        <f t="shared" si="6"/>
        <v>0</v>
      </c>
      <c r="L50" s="123">
        <f t="shared" si="7"/>
        <v>12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764</v>
      </c>
      <c r="G51" s="129" t="s">
        <v>74</v>
      </c>
      <c r="H51" s="122">
        <f t="shared" si="6"/>
        <v>0</v>
      </c>
      <c r="I51" s="122">
        <f t="shared" si="6"/>
        <v>0</v>
      </c>
      <c r="J51" s="122">
        <v>1</v>
      </c>
      <c r="K51" s="122">
        <v>1</v>
      </c>
      <c r="L51" s="123">
        <f t="shared" si="7"/>
        <v>2</v>
      </c>
      <c r="P51" s="129">
        <f t="shared" si="1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765</v>
      </c>
      <c r="G52" s="146" t="s">
        <v>63</v>
      </c>
      <c r="H52" s="187">
        <f t="shared" si="6"/>
        <v>0</v>
      </c>
      <c r="I52" s="187">
        <f t="shared" si="6"/>
        <v>0</v>
      </c>
      <c r="J52" s="187">
        <f t="shared" si="6"/>
        <v>0</v>
      </c>
      <c r="K52" s="187">
        <v>1</v>
      </c>
      <c r="L52" s="184">
        <f t="shared" si="7"/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6"/>
        <v>0</v>
      </c>
      <c r="I53" s="122">
        <f t="shared" si="6"/>
        <v>0</v>
      </c>
      <c r="J53" s="122">
        <f t="shared" si="6"/>
        <v>0</v>
      </c>
      <c r="K53" s="122">
        <f t="shared" si="6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6"/>
        <v>0</v>
      </c>
      <c r="I54" s="137">
        <f t="shared" si="6"/>
        <v>0</v>
      </c>
      <c r="J54" s="137">
        <f t="shared" si="6"/>
        <v>0</v>
      </c>
      <c r="K54" s="137">
        <f t="shared" si="6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61" t="s">
        <v>766</v>
      </c>
      <c r="G55" s="129" t="s">
        <v>63</v>
      </c>
      <c r="H55" s="122">
        <v>21</v>
      </c>
      <c r="I55" s="122">
        <v>4</v>
      </c>
      <c r="J55" s="122">
        <f t="shared" si="6"/>
        <v>0</v>
      </c>
      <c r="K55" s="122">
        <v>3</v>
      </c>
      <c r="L55" s="123">
        <f t="shared" si="7"/>
        <v>28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767</v>
      </c>
      <c r="G56" s="129" t="s">
        <v>63</v>
      </c>
      <c r="H56" s="122">
        <v>6</v>
      </c>
      <c r="I56" s="122">
        <v>11</v>
      </c>
      <c r="J56" s="122">
        <f t="shared" si="6"/>
        <v>0</v>
      </c>
      <c r="K56" s="122">
        <f t="shared" si="6"/>
        <v>0</v>
      </c>
      <c r="L56" s="123">
        <f t="shared" si="7"/>
        <v>17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768</v>
      </c>
      <c r="G57" s="134" t="s">
        <v>74</v>
      </c>
      <c r="H57" s="137">
        <f t="shared" si="6"/>
        <v>0</v>
      </c>
      <c r="I57" s="137">
        <f t="shared" si="6"/>
        <v>0</v>
      </c>
      <c r="J57" s="137">
        <f t="shared" si="6"/>
        <v>0</v>
      </c>
      <c r="K57" s="137">
        <f t="shared" si="6"/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769</v>
      </c>
      <c r="G58" s="129" t="s">
        <v>63</v>
      </c>
      <c r="H58" s="122">
        <v>6</v>
      </c>
      <c r="I58" s="122">
        <v>6</v>
      </c>
      <c r="J58" s="122">
        <f t="shared" si="6"/>
        <v>0</v>
      </c>
      <c r="K58" s="122">
        <v>1</v>
      </c>
      <c r="L58" s="123">
        <f t="shared" si="7"/>
        <v>13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770</v>
      </c>
      <c r="G59" s="134" t="s">
        <v>63</v>
      </c>
      <c r="H59" s="137">
        <v>2</v>
      </c>
      <c r="I59" s="137">
        <f t="shared" si="6"/>
        <v>0</v>
      </c>
      <c r="J59" s="137">
        <f t="shared" si="6"/>
        <v>0</v>
      </c>
      <c r="K59" s="137">
        <f t="shared" si="6"/>
        <v>0</v>
      </c>
      <c r="L59" s="138">
        <f t="shared" si="7"/>
        <v>2</v>
      </c>
      <c r="P59" s="129">
        <f t="shared" si="1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771</v>
      </c>
      <c r="G60" s="146" t="s">
        <v>74</v>
      </c>
      <c r="H60" s="187">
        <f t="shared" si="6"/>
        <v>0</v>
      </c>
      <c r="I60" s="187">
        <v>1</v>
      </c>
      <c r="J60" s="187">
        <v>2</v>
      </c>
      <c r="K60" s="187">
        <f t="shared" si="6"/>
        <v>0</v>
      </c>
      <c r="L60" s="184">
        <f t="shared" si="7"/>
        <v>3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772</v>
      </c>
      <c r="G61" s="129" t="s">
        <v>74</v>
      </c>
      <c r="H61" s="122">
        <f t="shared" si="6"/>
        <v>0</v>
      </c>
      <c r="I61" s="122">
        <f t="shared" si="6"/>
        <v>0</v>
      </c>
      <c r="J61" s="122">
        <v>1</v>
      </c>
      <c r="K61" s="122">
        <f t="shared" si="6"/>
        <v>0</v>
      </c>
      <c r="L61" s="123">
        <f t="shared" si="7"/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772</v>
      </c>
      <c r="G62" s="129" t="s">
        <v>74</v>
      </c>
      <c r="H62" s="122">
        <f t="shared" si="6"/>
        <v>0</v>
      </c>
      <c r="I62" s="122">
        <f t="shared" si="6"/>
        <v>0</v>
      </c>
      <c r="J62" s="122">
        <v>1</v>
      </c>
      <c r="K62" s="122">
        <f t="shared" si="6"/>
        <v>0</v>
      </c>
      <c r="L62" s="123">
        <f t="shared" si="7"/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6"/>
        <v>0</v>
      </c>
      <c r="I63" s="122">
        <f t="shared" si="6"/>
        <v>0</v>
      </c>
      <c r="J63" s="122">
        <f t="shared" si="6"/>
        <v>0</v>
      </c>
      <c r="K63" s="122">
        <f t="shared" si="6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6"/>
        <v>0</v>
      </c>
      <c r="I64" s="122">
        <f t="shared" si="6"/>
        <v>0</v>
      </c>
      <c r="J64" s="122">
        <f t="shared" si="6"/>
        <v>0</v>
      </c>
      <c r="K64" s="122">
        <f t="shared" si="6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773</v>
      </c>
      <c r="G65" s="129" t="s">
        <v>74</v>
      </c>
      <c r="H65" s="122">
        <f t="shared" si="6"/>
        <v>0</v>
      </c>
      <c r="I65" s="122">
        <f t="shared" si="6"/>
        <v>0</v>
      </c>
      <c r="J65" s="122">
        <f t="shared" si="6"/>
        <v>0</v>
      </c>
      <c r="K65" s="122">
        <v>1</v>
      </c>
      <c r="L65" s="123">
        <f t="shared" si="7"/>
        <v>1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431</v>
      </c>
      <c r="G67" s="129" t="s">
        <v>74</v>
      </c>
      <c r="H67" s="122">
        <f t="shared" si="6"/>
        <v>0</v>
      </c>
      <c r="I67" s="122">
        <f t="shared" si="6"/>
        <v>0</v>
      </c>
      <c r="J67" s="122">
        <v>1</v>
      </c>
      <c r="K67" s="122">
        <f t="shared" si="6"/>
        <v>0</v>
      </c>
      <c r="L67" s="123">
        <f t="shared" si="7"/>
        <v>1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774</v>
      </c>
      <c r="G68" s="129" t="s">
        <v>74</v>
      </c>
      <c r="H68" s="122">
        <v>0</v>
      </c>
      <c r="I68" s="122">
        <v>0</v>
      </c>
      <c r="J68" s="122">
        <v>3</v>
      </c>
      <c r="K68" s="122">
        <v>0</v>
      </c>
      <c r="L68" s="123">
        <f t="shared" si="7"/>
        <v>3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470</v>
      </c>
      <c r="G71" s="129" t="s">
        <v>74</v>
      </c>
      <c r="H71" s="122">
        <f t="shared" ref="H71:K72" si="8">IF($E71="ne","-",)</f>
        <v>0</v>
      </c>
      <c r="I71" s="122">
        <f t="shared" si="8"/>
        <v>0</v>
      </c>
      <c r="J71" s="122">
        <f t="shared" si="8"/>
        <v>0</v>
      </c>
      <c r="K71" s="122">
        <f t="shared" si="8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775</v>
      </c>
      <c r="G72" s="129" t="s">
        <v>74</v>
      </c>
      <c r="H72" s="122">
        <f t="shared" si="8"/>
        <v>0</v>
      </c>
      <c r="I72" s="122">
        <f t="shared" si="8"/>
        <v>0</v>
      </c>
      <c r="J72" s="122">
        <f t="shared" si="8"/>
        <v>0</v>
      </c>
      <c r="K72" s="122">
        <f t="shared" si="8"/>
        <v>0</v>
      </c>
      <c r="L72" s="123"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776</v>
      </c>
      <c r="G73" s="129" t="s">
        <v>74</v>
      </c>
      <c r="H73" s="122">
        <f t="shared" ref="H73:K86" si="9">IF($E73="ne","-",)</f>
        <v>0</v>
      </c>
      <c r="I73" s="122">
        <f t="shared" si="9"/>
        <v>0</v>
      </c>
      <c r="J73" s="122">
        <f t="shared" si="9"/>
        <v>0</v>
      </c>
      <c r="K73" s="122">
        <f t="shared" si="9"/>
        <v>0</v>
      </c>
      <c r="L73" s="123"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777</v>
      </c>
      <c r="G74" s="134" t="s">
        <v>74</v>
      </c>
      <c r="H74" s="137">
        <f t="shared" si="9"/>
        <v>0</v>
      </c>
      <c r="I74" s="137">
        <f t="shared" si="9"/>
        <v>0</v>
      </c>
      <c r="J74" s="137">
        <f t="shared" si="9"/>
        <v>0</v>
      </c>
      <c r="K74" s="137">
        <f t="shared" si="9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778</v>
      </c>
      <c r="G75" s="129" t="s">
        <v>74</v>
      </c>
      <c r="H75" s="122">
        <f t="shared" si="9"/>
        <v>0</v>
      </c>
      <c r="I75" s="122">
        <f t="shared" si="9"/>
        <v>0</v>
      </c>
      <c r="J75" s="122">
        <f t="shared" si="9"/>
        <v>0</v>
      </c>
      <c r="K75" s="122">
        <f t="shared" si="9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61" t="s">
        <v>779</v>
      </c>
      <c r="G76" s="129" t="s">
        <v>74</v>
      </c>
      <c r="H76" s="122">
        <f t="shared" si="9"/>
        <v>0</v>
      </c>
      <c r="I76" s="122">
        <f t="shared" si="9"/>
        <v>0</v>
      </c>
      <c r="J76" s="122">
        <f t="shared" si="9"/>
        <v>0</v>
      </c>
      <c r="K76" s="122">
        <f t="shared" si="9"/>
        <v>0</v>
      </c>
      <c r="L76" s="123">
        <v>1</v>
      </c>
      <c r="P76" s="129">
        <f t="shared" si="1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460</v>
      </c>
      <c r="G77" s="134" t="s">
        <v>74</v>
      </c>
      <c r="H77" s="137">
        <f t="shared" si="9"/>
        <v>0</v>
      </c>
      <c r="I77" s="137">
        <f t="shared" si="9"/>
        <v>0</v>
      </c>
      <c r="J77" s="137">
        <f t="shared" si="9"/>
        <v>0</v>
      </c>
      <c r="K77" s="137">
        <f t="shared" si="9"/>
        <v>0</v>
      </c>
      <c r="L77" s="138">
        <v>1</v>
      </c>
      <c r="P77" s="134">
        <f t="shared" ref="P77:P87" si="10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780</v>
      </c>
      <c r="G78" s="129" t="s">
        <v>74</v>
      </c>
      <c r="H78" s="122">
        <f t="shared" si="9"/>
        <v>0</v>
      </c>
      <c r="I78" s="122">
        <f t="shared" si="9"/>
        <v>0</v>
      </c>
      <c r="J78" s="122">
        <f t="shared" si="9"/>
        <v>0</v>
      </c>
      <c r="K78" s="122">
        <f t="shared" si="9"/>
        <v>0</v>
      </c>
      <c r="L78" s="123">
        <v>1</v>
      </c>
      <c r="P78" s="129">
        <f t="shared" si="10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781</v>
      </c>
      <c r="G79" s="129" t="s">
        <v>74</v>
      </c>
      <c r="H79" s="122">
        <f t="shared" si="9"/>
        <v>0</v>
      </c>
      <c r="I79" s="122">
        <f t="shared" si="9"/>
        <v>0</v>
      </c>
      <c r="J79" s="122">
        <f t="shared" si="9"/>
        <v>0</v>
      </c>
      <c r="K79" s="122">
        <f t="shared" si="9"/>
        <v>0</v>
      </c>
      <c r="L79" s="123">
        <v>1</v>
      </c>
      <c r="P79" s="129">
        <f t="shared" si="10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9"/>
        <v>0</v>
      </c>
      <c r="I80" s="137">
        <f t="shared" si="9"/>
        <v>0</v>
      </c>
      <c r="J80" s="137">
        <f t="shared" si="9"/>
        <v>0</v>
      </c>
      <c r="K80" s="137">
        <f t="shared" si="9"/>
        <v>0</v>
      </c>
      <c r="L80" s="138">
        <v>1</v>
      </c>
      <c r="P80" s="134">
        <f t="shared" si="10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782</v>
      </c>
      <c r="G81" s="129" t="s">
        <v>74</v>
      </c>
      <c r="H81" s="122">
        <f t="shared" si="9"/>
        <v>0</v>
      </c>
      <c r="I81" s="122">
        <f t="shared" si="9"/>
        <v>0</v>
      </c>
      <c r="J81" s="122">
        <f t="shared" si="9"/>
        <v>0</v>
      </c>
      <c r="K81" s="122">
        <f t="shared" si="9"/>
        <v>0</v>
      </c>
      <c r="L81" s="123">
        <v>1</v>
      </c>
      <c r="P81" s="129">
        <f t="shared" si="10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113</v>
      </c>
      <c r="F82" s="128"/>
      <c r="G82" s="129" t="s">
        <v>74</v>
      </c>
      <c r="H82" s="122" t="str">
        <f t="shared" si="9"/>
        <v>-</v>
      </c>
      <c r="I82" s="122" t="str">
        <f t="shared" si="9"/>
        <v>-</v>
      </c>
      <c r="J82" s="122" t="str">
        <f t="shared" si="9"/>
        <v>-</v>
      </c>
      <c r="K82" s="122" t="str">
        <f t="shared" si="9"/>
        <v>-</v>
      </c>
      <c r="L82" s="123" t="str">
        <f t="shared" si="7"/>
        <v>-</v>
      </c>
      <c r="P82" s="129">
        <f t="shared" si="10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9"/>
        <v>0</v>
      </c>
      <c r="I83" s="137">
        <f t="shared" si="9"/>
        <v>0</v>
      </c>
      <c r="J83" s="137">
        <v>1</v>
      </c>
      <c r="K83" s="137">
        <f t="shared" si="9"/>
        <v>0</v>
      </c>
      <c r="L83" s="138">
        <f t="shared" si="7"/>
        <v>1</v>
      </c>
      <c r="P83" s="134">
        <f t="shared" si="10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783</v>
      </c>
      <c r="G84" s="134" t="s">
        <v>74</v>
      </c>
      <c r="H84" s="137">
        <f t="shared" si="9"/>
        <v>0</v>
      </c>
      <c r="I84" s="137">
        <f t="shared" si="9"/>
        <v>0</v>
      </c>
      <c r="J84" s="137">
        <f t="shared" si="9"/>
        <v>0</v>
      </c>
      <c r="K84" s="137">
        <f t="shared" si="9"/>
        <v>0</v>
      </c>
      <c r="L84" s="138">
        <v>1</v>
      </c>
      <c r="P84" s="134">
        <f t="shared" si="10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9"/>
        <v>0</v>
      </c>
      <c r="I85" s="156">
        <f t="shared" si="9"/>
        <v>0</v>
      </c>
      <c r="J85" s="156">
        <f t="shared" si="9"/>
        <v>0</v>
      </c>
      <c r="K85" s="156">
        <f t="shared" si="9"/>
        <v>0</v>
      </c>
      <c r="L85" s="138">
        <v>1</v>
      </c>
      <c r="P85" s="155">
        <f t="shared" si="10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784</v>
      </c>
      <c r="G86" s="155" t="s">
        <v>74</v>
      </c>
      <c r="H86" s="155">
        <f t="shared" si="9"/>
        <v>0</v>
      </c>
      <c r="I86" s="155">
        <f t="shared" si="9"/>
        <v>0</v>
      </c>
      <c r="J86" s="155">
        <f t="shared" si="9"/>
        <v>0</v>
      </c>
      <c r="K86" s="155">
        <f t="shared" si="9"/>
        <v>0</v>
      </c>
      <c r="L86" s="160">
        <v>1</v>
      </c>
      <c r="M86" s="155"/>
      <c r="N86" s="155"/>
      <c r="O86" s="155"/>
      <c r="P86" s="155">
        <f t="shared" si="10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0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347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347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347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347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348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P2" xr:uid="{B02B0A38-8D86-4EC5-97E5-74611AC52359}"/>
  <mergeCells count="3">
    <mergeCell ref="H1:L1"/>
    <mergeCell ref="A98:O98"/>
    <mergeCell ref="A102:O102"/>
  </mergeCells>
  <conditionalFormatting sqref="E6:E8 E10:E23 E26:E27">
    <cfRule type="cellIs" dxfId="333" priority="70" operator="equal">
      <formula>"ne"</formula>
    </cfRule>
  </conditionalFormatting>
  <conditionalFormatting sqref="E29:E43">
    <cfRule type="cellIs" dxfId="332" priority="44" operator="equal">
      <formula>"ne"</formula>
    </cfRule>
  </conditionalFormatting>
  <conditionalFormatting sqref="E45:E67">
    <cfRule type="cellIs" dxfId="331" priority="63" operator="equal">
      <formula>"ne"</formula>
    </cfRule>
  </conditionalFormatting>
  <conditionalFormatting sqref="E69 E71:E91">
    <cfRule type="cellIs" dxfId="330" priority="25" operator="equal">
      <formula>"ne"</formula>
    </cfRule>
  </conditionalFormatting>
  <conditionalFormatting sqref="E96">
    <cfRule type="cellIs" dxfId="329" priority="28" operator="equal">
      <formula>"ne"</formula>
    </cfRule>
  </conditionalFormatting>
  <conditionalFormatting sqref="H4:K23 H26:K27">
    <cfRule type="cellIs" dxfId="328" priority="48" operator="between">
      <formula>0.0001</formula>
      <formula>1000</formula>
    </cfRule>
    <cfRule type="cellIs" dxfId="327" priority="49" operator="equal">
      <formula>"-"</formula>
    </cfRule>
  </conditionalFormatting>
  <conditionalFormatting sqref="H29:K43">
    <cfRule type="cellIs" dxfId="326" priority="41" operator="between">
      <formula>0.0001</formula>
      <formula>1000</formula>
    </cfRule>
    <cfRule type="cellIs" dxfId="325" priority="42" operator="equal">
      <formula>"-"</formula>
    </cfRule>
  </conditionalFormatting>
  <conditionalFormatting sqref="H45:K69 H71:K90">
    <cfRule type="cellIs" dxfId="324" priority="21" operator="between">
      <formula>0.0001</formula>
      <formula>1000</formula>
    </cfRule>
    <cfRule type="cellIs" dxfId="323" priority="22" operator="equal">
      <formula>"-"</formula>
    </cfRule>
  </conditionalFormatting>
  <conditionalFormatting sqref="H96:K96">
    <cfRule type="cellIs" dxfId="322" priority="26" operator="between">
      <formula>0.0001</formula>
      <formula>1000</formula>
    </cfRule>
    <cfRule type="cellIs" dxfId="321" priority="27" operator="equal">
      <formula>"-"</formula>
    </cfRule>
  </conditionalFormatting>
  <conditionalFormatting sqref="L3:L13 L15:L22">
    <cfRule type="cellIs" dxfId="320" priority="69" operator="equal">
      <formula>0</formula>
    </cfRule>
  </conditionalFormatting>
  <conditionalFormatting sqref="L23 L26">
    <cfRule type="cellIs" dxfId="319" priority="50" operator="equal">
      <formula>0</formula>
    </cfRule>
  </conditionalFormatting>
  <conditionalFormatting sqref="L29:L42">
    <cfRule type="cellIs" dxfId="318" priority="43" operator="equal">
      <formula>0</formula>
    </cfRule>
  </conditionalFormatting>
  <conditionalFormatting sqref="L45:L69 L71:L88">
    <cfRule type="cellIs" dxfId="317" priority="37" operator="equal">
      <formula>0</formula>
    </cfRule>
  </conditionalFormatting>
  <conditionalFormatting sqref="E70">
    <cfRule type="cellIs" dxfId="316" priority="20" operator="equal">
      <formula>"ne"</formula>
    </cfRule>
  </conditionalFormatting>
  <conditionalFormatting sqref="H70:K70">
    <cfRule type="cellIs" dxfId="315" priority="18" operator="between">
      <formula>0.0001</formula>
      <formula>1000</formula>
    </cfRule>
    <cfRule type="cellIs" dxfId="314" priority="19" operator="equal">
      <formula>"-"</formula>
    </cfRule>
  </conditionalFormatting>
  <conditionalFormatting sqref="L70">
    <cfRule type="cellIs" dxfId="313" priority="17" operator="equal">
      <formula>0</formula>
    </cfRule>
  </conditionalFormatting>
  <conditionalFormatting sqref="E25">
    <cfRule type="cellIs" dxfId="312" priority="10" operator="equal">
      <formula>"ne"</formula>
    </cfRule>
  </conditionalFormatting>
  <conditionalFormatting sqref="H25:K25">
    <cfRule type="cellIs" dxfId="311" priority="8" operator="between">
      <formula>0.0001</formula>
      <formula>1000</formula>
    </cfRule>
    <cfRule type="cellIs" dxfId="310" priority="9" operator="equal">
      <formula>"-"</formula>
    </cfRule>
  </conditionalFormatting>
  <conditionalFormatting sqref="E24:E25">
    <cfRule type="cellIs" dxfId="309" priority="7" operator="equal">
      <formula>"ne"</formula>
    </cfRule>
  </conditionalFormatting>
  <conditionalFormatting sqref="H24:K25">
    <cfRule type="cellIs" dxfId="308" priority="5" operator="between">
      <formula>0.0001</formula>
      <formula>1000</formula>
    </cfRule>
    <cfRule type="cellIs" dxfId="307" priority="6" operator="equal">
      <formula>"-"</formula>
    </cfRule>
  </conditionalFormatting>
  <conditionalFormatting sqref="L24:L25">
    <cfRule type="cellIs" dxfId="306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76914-3AA9-4388-970C-38B93FB6C4F5}">
  <sheetPr>
    <tabColor theme="9" tint="0.39997558519241921"/>
  </sheetPr>
  <dimension ref="A1:Q105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291" t="s">
        <v>278</v>
      </c>
      <c r="F1" s="292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293" t="s">
        <v>286</v>
      </c>
      <c r="F2" s="293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294" t="s">
        <v>62</v>
      </c>
      <c r="F3" s="309" t="s">
        <v>703</v>
      </c>
      <c r="G3" s="119" t="s">
        <v>103</v>
      </c>
      <c r="H3" s="122">
        <v>554</v>
      </c>
      <c r="L3" s="123">
        <v>554</v>
      </c>
      <c r="N3" s="122"/>
      <c r="P3" s="122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294" t="s">
        <v>62</v>
      </c>
      <c r="F4" s="295" t="s">
        <v>704</v>
      </c>
      <c r="G4" s="129" t="s">
        <v>103</v>
      </c>
      <c r="H4" s="122"/>
      <c r="I4" s="122">
        <f>126+(16+17)</f>
        <v>159</v>
      </c>
      <c r="J4" s="122">
        <v>70</v>
      </c>
      <c r="K4" s="122">
        <f>IF($E4="ne","-",)</f>
        <v>0</v>
      </c>
      <c r="L4" s="123">
        <f t="shared" ref="L4:L38" si="0">IF($E4="ne","-",H4+I4+J4+K4)</f>
        <v>229</v>
      </c>
      <c r="M4" s="130"/>
      <c r="N4" s="130"/>
      <c r="O4" s="130"/>
      <c r="P4" s="124">
        <f>IFERROR(N4+O4,"-")</f>
        <v>0</v>
      </c>
      <c r="Q4" s="129" t="s">
        <v>290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94" t="s">
        <v>62</v>
      </c>
      <c r="F5" s="295" t="s">
        <v>705</v>
      </c>
      <c r="G5" s="129" t="s">
        <v>103</v>
      </c>
      <c r="H5" s="122">
        <v>0</v>
      </c>
      <c r="I5" s="122">
        <f t="shared" ref="I5:K18" si="1">IF($E5="ne","-",)</f>
        <v>0</v>
      </c>
      <c r="J5" s="122">
        <f t="shared" si="1"/>
        <v>0</v>
      </c>
      <c r="K5" s="122">
        <f>348+97</f>
        <v>445</v>
      </c>
      <c r="L5" s="123">
        <f t="shared" si="0"/>
        <v>445</v>
      </c>
      <c r="M5" s="130"/>
      <c r="N5" s="130"/>
      <c r="O5" s="130"/>
      <c r="P5" s="124">
        <f t="shared" ref="P5:P76" si="2">IFERROR(N5+O5,"-")</f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294" t="s">
        <v>113</v>
      </c>
      <c r="F6" s="310"/>
      <c r="G6" s="311" t="s">
        <v>103</v>
      </c>
      <c r="H6" s="122" t="s">
        <v>154</v>
      </c>
      <c r="I6" s="122" t="str">
        <f t="shared" si="1"/>
        <v>-</v>
      </c>
      <c r="J6" s="122" t="str">
        <f t="shared" si="1"/>
        <v>-</v>
      </c>
      <c r="K6" s="122" t="str">
        <f t="shared" si="1"/>
        <v>-</v>
      </c>
      <c r="L6" s="123" t="str">
        <f t="shared" si="0"/>
        <v>-</v>
      </c>
      <c r="M6" s="130"/>
      <c r="N6" s="130"/>
      <c r="O6" s="130"/>
      <c r="P6" s="130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294" t="s">
        <v>113</v>
      </c>
      <c r="F7" s="310"/>
      <c r="G7" s="311" t="s">
        <v>103</v>
      </c>
      <c r="H7" s="122" t="s">
        <v>154</v>
      </c>
      <c r="I7" s="122" t="str">
        <f t="shared" si="1"/>
        <v>-</v>
      </c>
      <c r="J7" s="122" t="str">
        <f t="shared" si="1"/>
        <v>-</v>
      </c>
      <c r="K7" s="122" t="str">
        <f t="shared" si="1"/>
        <v>-</v>
      </c>
      <c r="L7" s="123" t="str">
        <f t="shared" si="0"/>
        <v>-</v>
      </c>
      <c r="M7" s="130"/>
      <c r="N7" s="130"/>
      <c r="O7" s="130"/>
      <c r="P7" s="130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294" t="s">
        <v>113</v>
      </c>
      <c r="F8" s="310"/>
      <c r="G8" s="311" t="s">
        <v>103</v>
      </c>
      <c r="H8" s="122" t="s">
        <v>154</v>
      </c>
      <c r="I8" s="122" t="str">
        <f t="shared" si="1"/>
        <v>-</v>
      </c>
      <c r="J8" s="122" t="str">
        <f t="shared" si="1"/>
        <v>-</v>
      </c>
      <c r="K8" s="122" t="str">
        <f t="shared" si="1"/>
        <v>-</v>
      </c>
      <c r="L8" s="123" t="str">
        <f t="shared" si="0"/>
        <v>-</v>
      </c>
      <c r="M8" s="130"/>
      <c r="N8" s="130"/>
      <c r="O8" s="130"/>
      <c r="P8" s="130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294" t="s">
        <v>62</v>
      </c>
      <c r="F9" s="295" t="s">
        <v>706</v>
      </c>
      <c r="G9" s="129" t="s">
        <v>103</v>
      </c>
      <c r="H9" s="122">
        <f t="shared" ref="H9:H39" si="3">IF($E9="ne","-",)</f>
        <v>0</v>
      </c>
      <c r="I9" s="122">
        <f t="shared" si="1"/>
        <v>0</v>
      </c>
      <c r="J9" s="122">
        <f t="shared" si="1"/>
        <v>0</v>
      </c>
      <c r="K9" s="122">
        <v>32</v>
      </c>
      <c r="L9" s="123">
        <f t="shared" si="0"/>
        <v>32</v>
      </c>
      <c r="M9" s="130"/>
      <c r="N9" s="130"/>
      <c r="O9" s="130"/>
      <c r="P9" s="130">
        <f t="shared" si="2"/>
        <v>0</v>
      </c>
      <c r="Q9" s="129" t="s">
        <v>291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94" t="s">
        <v>62</v>
      </c>
      <c r="F10" s="295" t="s">
        <v>707</v>
      </c>
      <c r="G10" s="129" t="s">
        <v>103</v>
      </c>
      <c r="H10" s="122">
        <f t="shared" si="3"/>
        <v>0</v>
      </c>
      <c r="I10" s="122">
        <f t="shared" si="1"/>
        <v>0</v>
      </c>
      <c r="J10" s="122">
        <f t="shared" si="1"/>
        <v>0</v>
      </c>
      <c r="K10" s="122">
        <v>81</v>
      </c>
      <c r="L10" s="123">
        <f t="shared" si="0"/>
        <v>81</v>
      </c>
      <c r="M10" s="130"/>
      <c r="N10" s="130"/>
      <c r="O10" s="130"/>
      <c r="P10" s="130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94" t="s">
        <v>62</v>
      </c>
      <c r="F11" s="295" t="s">
        <v>708</v>
      </c>
      <c r="G11" s="129" t="s">
        <v>103</v>
      </c>
      <c r="H11" s="122">
        <f t="shared" si="3"/>
        <v>0</v>
      </c>
      <c r="I11" s="122">
        <f t="shared" si="1"/>
        <v>0</v>
      </c>
      <c r="J11" s="122">
        <f t="shared" si="1"/>
        <v>0</v>
      </c>
      <c r="K11" s="122">
        <v>14</v>
      </c>
      <c r="L11" s="123">
        <f t="shared" si="0"/>
        <v>14</v>
      </c>
      <c r="M11" s="130"/>
      <c r="N11" s="130"/>
      <c r="O11" s="130"/>
      <c r="P11" s="130">
        <f t="shared" si="2"/>
        <v>0</v>
      </c>
      <c r="Q11" s="129" t="s">
        <v>292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294" t="s">
        <v>113</v>
      </c>
      <c r="F12" s="296"/>
      <c r="G12" s="129" t="s">
        <v>74</v>
      </c>
      <c r="H12" s="122" t="str">
        <f t="shared" ref="H12:K13" si="4">IF($E12="ne","-",)</f>
        <v>-</v>
      </c>
      <c r="I12" s="122" t="str">
        <f t="shared" si="4"/>
        <v>-</v>
      </c>
      <c r="J12" s="122" t="str">
        <f t="shared" si="4"/>
        <v>-</v>
      </c>
      <c r="K12" s="122" t="str">
        <f t="shared" si="4"/>
        <v>-</v>
      </c>
      <c r="L12" s="123" t="str">
        <f>IF($E12="ne","-",H12+I12+J12+K12)</f>
        <v>-</v>
      </c>
      <c r="M12" s="130"/>
      <c r="N12" s="130"/>
      <c r="O12" s="130"/>
      <c r="P12" s="130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294" t="s">
        <v>113</v>
      </c>
      <c r="F13" s="296"/>
      <c r="G13" s="129" t="s">
        <v>74</v>
      </c>
      <c r="H13" s="122" t="str">
        <f t="shared" si="4"/>
        <v>-</v>
      </c>
      <c r="I13" s="122" t="str">
        <f t="shared" si="4"/>
        <v>-</v>
      </c>
      <c r="J13" s="122" t="str">
        <f t="shared" si="4"/>
        <v>-</v>
      </c>
      <c r="K13" s="122" t="str">
        <f t="shared" si="4"/>
        <v>-</v>
      </c>
      <c r="L13" s="123" t="str">
        <f>IF($E13="ne","-",H13+I13+J13+K13)</f>
        <v>-</v>
      </c>
      <c r="M13" s="130"/>
      <c r="N13" s="130"/>
      <c r="O13" s="130"/>
      <c r="P13" s="130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294" t="s">
        <v>225</v>
      </c>
      <c r="F14" s="108" t="s">
        <v>709</v>
      </c>
      <c r="G14" s="311" t="s">
        <v>103</v>
      </c>
      <c r="H14" s="312">
        <v>0</v>
      </c>
      <c r="I14" s="122">
        <f t="shared" si="1"/>
        <v>0</v>
      </c>
      <c r="J14" s="122">
        <f t="shared" si="1"/>
        <v>0</v>
      </c>
      <c r="K14" s="122">
        <f t="shared" si="1"/>
        <v>0</v>
      </c>
      <c r="L14" s="123">
        <v>0</v>
      </c>
      <c r="M14" s="130"/>
      <c r="N14" s="130"/>
      <c r="O14" s="130"/>
      <c r="P14" s="130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294" t="s">
        <v>113</v>
      </c>
      <c r="F15" s="296"/>
      <c r="G15" s="129" t="s">
        <v>103</v>
      </c>
      <c r="H15" s="122" t="str">
        <f t="shared" si="3"/>
        <v>-</v>
      </c>
      <c r="I15" s="122" t="str">
        <f t="shared" si="1"/>
        <v>-</v>
      </c>
      <c r="J15" s="122" t="str">
        <f t="shared" si="1"/>
        <v>-</v>
      </c>
      <c r="K15" s="122" t="str">
        <f t="shared" si="1"/>
        <v>-</v>
      </c>
      <c r="L15" s="123" t="str">
        <f t="shared" si="0"/>
        <v>-</v>
      </c>
      <c r="M15" s="130"/>
      <c r="N15" s="130"/>
      <c r="O15" s="130"/>
      <c r="P15" s="130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203" t="s">
        <v>113</v>
      </c>
      <c r="F16" s="298"/>
      <c r="G16" s="134" t="s">
        <v>103</v>
      </c>
      <c r="H16" s="137" t="str">
        <f t="shared" si="3"/>
        <v>-</v>
      </c>
      <c r="I16" s="137" t="str">
        <f t="shared" si="1"/>
        <v>-</v>
      </c>
      <c r="J16" s="137" t="str">
        <f t="shared" si="1"/>
        <v>-</v>
      </c>
      <c r="K16" s="137" t="str">
        <f t="shared" si="1"/>
        <v>-</v>
      </c>
      <c r="L16" s="138" t="str">
        <f t="shared" si="0"/>
        <v>-</v>
      </c>
      <c r="M16" s="139"/>
      <c r="N16" s="139"/>
      <c r="O16" s="139"/>
      <c r="P16" s="139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299" t="s">
        <v>113</v>
      </c>
      <c r="F17" s="300"/>
      <c r="G17" s="146" t="s">
        <v>63</v>
      </c>
      <c r="H17" s="122" t="str">
        <f t="shared" si="3"/>
        <v>-</v>
      </c>
      <c r="I17" s="122" t="str">
        <f t="shared" si="1"/>
        <v>-</v>
      </c>
      <c r="J17" s="122" t="str">
        <f t="shared" si="1"/>
        <v>-</v>
      </c>
      <c r="K17" s="122" t="str">
        <f t="shared" si="1"/>
        <v>-</v>
      </c>
      <c r="L17" s="123" t="str">
        <f t="shared" si="0"/>
        <v>-</v>
      </c>
      <c r="M17" s="147"/>
      <c r="N17" s="147"/>
      <c r="O17" s="147"/>
      <c r="P17" s="147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203" t="s">
        <v>113</v>
      </c>
      <c r="F18" s="298"/>
      <c r="G18" s="134" t="s">
        <v>63</v>
      </c>
      <c r="H18" s="137" t="str">
        <f t="shared" si="3"/>
        <v>-</v>
      </c>
      <c r="I18" s="137" t="str">
        <f t="shared" si="1"/>
        <v>-</v>
      </c>
      <c r="J18" s="137" t="str">
        <f t="shared" si="1"/>
        <v>-</v>
      </c>
      <c r="K18" s="137" t="str">
        <f t="shared" si="1"/>
        <v>-</v>
      </c>
      <c r="L18" s="138" t="str">
        <f t="shared" si="0"/>
        <v>-</v>
      </c>
      <c r="M18" s="139"/>
      <c r="N18" s="139"/>
      <c r="O18" s="139"/>
      <c r="P18" s="130">
        <f t="shared" si="2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299" t="s">
        <v>113</v>
      </c>
      <c r="F19" s="300"/>
      <c r="G19" s="146" t="s">
        <v>63</v>
      </c>
      <c r="H19" s="122" t="str">
        <f t="shared" si="3"/>
        <v>-</v>
      </c>
      <c r="I19" s="122" t="str">
        <f t="shared" ref="I19:I39" si="5">IF($E19="ne","-",)</f>
        <v>-</v>
      </c>
      <c r="J19" s="122">
        <v>0</v>
      </c>
      <c r="K19" s="122">
        <v>0</v>
      </c>
      <c r="L19" s="123" t="str">
        <f t="shared" si="0"/>
        <v>-</v>
      </c>
      <c r="M19" s="147"/>
      <c r="N19" s="147"/>
      <c r="O19" s="147"/>
      <c r="P19" s="147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294" t="s">
        <v>62</v>
      </c>
      <c r="F20" s="295" t="s">
        <v>710</v>
      </c>
      <c r="G20" s="129" t="s">
        <v>63</v>
      </c>
      <c r="H20" s="122">
        <f t="shared" si="3"/>
        <v>0</v>
      </c>
      <c r="I20" s="122">
        <f t="shared" si="5"/>
        <v>0</v>
      </c>
      <c r="J20" s="122">
        <f t="shared" ref="J20:K39" si="6">IF($E20="ne","-",)</f>
        <v>0</v>
      </c>
      <c r="K20" s="122">
        <v>2</v>
      </c>
      <c r="L20" s="123">
        <f t="shared" si="0"/>
        <v>2</v>
      </c>
      <c r="M20" s="130"/>
      <c r="N20" s="130"/>
      <c r="O20" s="130"/>
      <c r="P20" s="130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203" t="s">
        <v>62</v>
      </c>
      <c r="F21" s="109" t="s">
        <v>711</v>
      </c>
      <c r="G21" s="134" t="s">
        <v>63</v>
      </c>
      <c r="H21" s="137">
        <f t="shared" si="3"/>
        <v>0</v>
      </c>
      <c r="I21" s="122">
        <f t="shared" si="5"/>
        <v>0</v>
      </c>
      <c r="J21" s="122">
        <f t="shared" si="6"/>
        <v>0</v>
      </c>
      <c r="K21" s="122">
        <f t="shared" si="6"/>
        <v>0</v>
      </c>
      <c r="L21" s="138">
        <v>4</v>
      </c>
      <c r="M21" s="139"/>
      <c r="N21" s="139"/>
      <c r="O21" s="139"/>
      <c r="P21" s="139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211" t="s">
        <v>62</v>
      </c>
      <c r="F22" s="110" t="s">
        <v>712</v>
      </c>
      <c r="G22" s="155" t="s">
        <v>74</v>
      </c>
      <c r="H22" s="156">
        <v>1</v>
      </c>
      <c r="I22" s="156">
        <v>1</v>
      </c>
      <c r="J22" s="156">
        <f t="shared" si="6"/>
        <v>0</v>
      </c>
      <c r="K22" s="156">
        <f t="shared" si="6"/>
        <v>0</v>
      </c>
      <c r="L22" s="138">
        <f t="shared" si="0"/>
        <v>2</v>
      </c>
      <c r="M22" s="157"/>
      <c r="N22" s="157"/>
      <c r="O22" s="157"/>
      <c r="P22" s="157">
        <f t="shared" si="2"/>
        <v>0</v>
      </c>
      <c r="Q22" s="155" t="s">
        <v>293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211" t="s">
        <v>62</v>
      </c>
      <c r="F23" s="110" t="s">
        <v>669</v>
      </c>
      <c r="G23" s="155" t="s">
        <v>74</v>
      </c>
      <c r="H23" s="156">
        <f t="shared" si="3"/>
        <v>0</v>
      </c>
      <c r="I23" s="156">
        <f t="shared" si="5"/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211" t="s">
        <v>113</v>
      </c>
      <c r="F25" s="110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294" t="s">
        <v>62</v>
      </c>
      <c r="F26" s="297" t="s">
        <v>280</v>
      </c>
      <c r="I26" s="129">
        <f t="shared" si="5"/>
        <v>0</v>
      </c>
      <c r="J26" s="129">
        <f t="shared" si="6"/>
        <v>0</v>
      </c>
      <c r="K26" s="129">
        <f t="shared" si="6"/>
        <v>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301"/>
      <c r="F27" s="302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E28" s="294"/>
      <c r="F28" s="108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299" t="s">
        <v>113</v>
      </c>
      <c r="F29" s="300"/>
      <c r="G29" s="146" t="s">
        <v>63</v>
      </c>
      <c r="H29" s="187" t="str">
        <f t="shared" si="3"/>
        <v>-</v>
      </c>
      <c r="I29" s="187" t="str">
        <f t="shared" si="5"/>
        <v>-</v>
      </c>
      <c r="J29" s="187" t="str">
        <f t="shared" si="6"/>
        <v>-</v>
      </c>
      <c r="K29" s="187" t="str">
        <f t="shared" si="6"/>
        <v>-</v>
      </c>
      <c r="L29" s="184" t="str">
        <f t="shared" si="0"/>
        <v>-</v>
      </c>
      <c r="P29" s="146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294" t="s">
        <v>225</v>
      </c>
      <c r="F30" s="108" t="s">
        <v>294</v>
      </c>
      <c r="G30" s="311" t="s">
        <v>63</v>
      </c>
      <c r="H30" s="312" t="s">
        <v>154</v>
      </c>
      <c r="I30" s="312" t="s">
        <v>154</v>
      </c>
      <c r="J30" s="312" t="s">
        <v>154</v>
      </c>
      <c r="K30" s="122">
        <f t="shared" si="6"/>
        <v>0</v>
      </c>
      <c r="L30" s="123" t="s">
        <v>154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294" t="s">
        <v>62</v>
      </c>
      <c r="F31" s="295" t="s">
        <v>713</v>
      </c>
      <c r="G31" s="129" t="s">
        <v>63</v>
      </c>
      <c r="H31" s="122">
        <f t="shared" si="3"/>
        <v>0</v>
      </c>
      <c r="I31" s="122">
        <v>0</v>
      </c>
      <c r="J31" s="122">
        <v>1</v>
      </c>
      <c r="K31" s="122">
        <f t="shared" si="6"/>
        <v>0</v>
      </c>
      <c r="L31" s="123">
        <f t="shared" si="0"/>
        <v>1</v>
      </c>
      <c r="N31" s="303"/>
      <c r="P31" s="129">
        <f t="shared" si="2"/>
        <v>0</v>
      </c>
      <c r="Q31" s="129" t="s">
        <v>295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294" t="s">
        <v>225</v>
      </c>
      <c r="F32" s="108" t="s">
        <v>294</v>
      </c>
      <c r="G32" s="311" t="s">
        <v>63</v>
      </c>
      <c r="H32" s="312" t="s">
        <v>154</v>
      </c>
      <c r="I32" s="122">
        <f t="shared" si="5"/>
        <v>0</v>
      </c>
      <c r="J32" s="122">
        <f t="shared" si="6"/>
        <v>0</v>
      </c>
      <c r="K32" s="122">
        <f t="shared" si="6"/>
        <v>0</v>
      </c>
      <c r="L32" s="123" t="s">
        <v>154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294" t="s">
        <v>225</v>
      </c>
      <c r="F33" s="108" t="s">
        <v>294</v>
      </c>
      <c r="G33" s="311" t="s">
        <v>63</v>
      </c>
      <c r="H33" s="312" t="s">
        <v>154</v>
      </c>
      <c r="I33" s="122">
        <f t="shared" si="5"/>
        <v>0</v>
      </c>
      <c r="J33" s="122">
        <f t="shared" si="6"/>
        <v>0</v>
      </c>
      <c r="K33" s="122">
        <f t="shared" si="6"/>
        <v>0</v>
      </c>
      <c r="L33" s="123" t="s">
        <v>154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294" t="s">
        <v>225</v>
      </c>
      <c r="F34" s="108" t="s">
        <v>294</v>
      </c>
      <c r="G34" s="313" t="s">
        <v>63</v>
      </c>
      <c r="H34" s="312" t="s">
        <v>154</v>
      </c>
      <c r="I34" s="122">
        <f t="shared" si="5"/>
        <v>0</v>
      </c>
      <c r="J34" s="122">
        <f t="shared" si="6"/>
        <v>0</v>
      </c>
      <c r="K34" s="122">
        <f t="shared" si="6"/>
        <v>0</v>
      </c>
      <c r="L34" s="138" t="s">
        <v>154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211" t="s">
        <v>225</v>
      </c>
      <c r="F35" s="110" t="s">
        <v>294</v>
      </c>
      <c r="G35" s="314" t="s">
        <v>74</v>
      </c>
      <c r="H35" s="315" t="s">
        <v>154</v>
      </c>
      <c r="I35" s="156">
        <f t="shared" si="5"/>
        <v>0</v>
      </c>
      <c r="J35" s="156">
        <f t="shared" si="6"/>
        <v>0</v>
      </c>
      <c r="K35" s="156">
        <f t="shared" si="6"/>
        <v>0</v>
      </c>
      <c r="L35" s="138" t="s">
        <v>154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294" t="s">
        <v>113</v>
      </c>
      <c r="F36" s="296"/>
      <c r="G36" s="129" t="s">
        <v>103</v>
      </c>
      <c r="H36" s="122" t="str">
        <f t="shared" si="3"/>
        <v>-</v>
      </c>
      <c r="I36" s="122" t="str">
        <f t="shared" si="5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294" t="s">
        <v>225</v>
      </c>
      <c r="F37" s="108" t="s">
        <v>294</v>
      </c>
      <c r="G37" s="311" t="s">
        <v>103</v>
      </c>
      <c r="H37" s="122">
        <f t="shared" si="3"/>
        <v>0</v>
      </c>
      <c r="I37" s="122">
        <f t="shared" si="5"/>
        <v>0</v>
      </c>
      <c r="J37" s="122">
        <f t="shared" si="6"/>
        <v>0</v>
      </c>
      <c r="K37" s="122">
        <f t="shared" si="6"/>
        <v>0</v>
      </c>
      <c r="L37" s="123" t="s">
        <v>154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294" t="s">
        <v>62</v>
      </c>
      <c r="F38" s="295" t="s">
        <v>626</v>
      </c>
      <c r="G38" s="129" t="s">
        <v>103</v>
      </c>
      <c r="H38" s="122">
        <f t="shared" si="3"/>
        <v>0</v>
      </c>
      <c r="I38" s="122">
        <f>2*15+4*9+6*17+8*6+10*17+12*9+14*17+16*5+18*17+20*12</f>
        <v>1358</v>
      </c>
      <c r="J38" s="122">
        <f t="shared" si="6"/>
        <v>0</v>
      </c>
      <c r="K38" s="122">
        <f t="shared" si="6"/>
        <v>0</v>
      </c>
      <c r="L38" s="123">
        <f t="shared" si="0"/>
        <v>1358</v>
      </c>
      <c r="N38" s="303"/>
      <c r="P38" s="129">
        <f t="shared" si="2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203" t="s">
        <v>225</v>
      </c>
      <c r="F39" s="109" t="s">
        <v>294</v>
      </c>
      <c r="G39" s="134" t="s">
        <v>103</v>
      </c>
      <c r="H39" s="137">
        <f t="shared" si="3"/>
        <v>0</v>
      </c>
      <c r="I39" s="137">
        <f t="shared" si="5"/>
        <v>0</v>
      </c>
      <c r="J39" s="137">
        <f t="shared" si="6"/>
        <v>0</v>
      </c>
      <c r="K39" s="137">
        <f t="shared" si="6"/>
        <v>0</v>
      </c>
      <c r="L39" s="138" t="s">
        <v>154</v>
      </c>
      <c r="P39" s="134">
        <f t="shared" si="2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203" t="s">
        <v>62</v>
      </c>
      <c r="F40" s="305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2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211" t="s">
        <v>62</v>
      </c>
      <c r="F41" s="110" t="s">
        <v>714</v>
      </c>
      <c r="G41" s="155" t="s">
        <v>74</v>
      </c>
      <c r="H41" s="156">
        <f t="shared" ref="H41:K42" si="7">IF($E41="ne","-",)</f>
        <v>0</v>
      </c>
      <c r="I41" s="156">
        <f t="shared" si="7"/>
        <v>0</v>
      </c>
      <c r="J41" s="156">
        <f t="shared" si="7"/>
        <v>0</v>
      </c>
      <c r="K41" s="156">
        <f t="shared" si="7"/>
        <v>0</v>
      </c>
      <c r="L41" s="138">
        <v>1</v>
      </c>
      <c r="P41" s="155">
        <f t="shared" si="2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299" t="s">
        <v>62</v>
      </c>
      <c r="F42" s="297" t="s">
        <v>280</v>
      </c>
      <c r="G42" s="129"/>
      <c r="H42" s="146">
        <f t="shared" si="7"/>
        <v>0</v>
      </c>
      <c r="J42" s="146">
        <f t="shared" si="7"/>
        <v>0</v>
      </c>
      <c r="K42" s="146">
        <f t="shared" si="7"/>
        <v>0</v>
      </c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301"/>
      <c r="F43" s="302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E44" s="345"/>
      <c r="F44" s="346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294" t="s">
        <v>62</v>
      </c>
      <c r="F45" s="108" t="s">
        <v>715</v>
      </c>
      <c r="G45" s="146" t="s">
        <v>74</v>
      </c>
      <c r="H45" s="146">
        <v>1</v>
      </c>
      <c r="I45" s="146">
        <v>1</v>
      </c>
      <c r="J45" s="146">
        <f t="shared" ref="J45:K50" si="8">IF($E45="ne","-",)</f>
        <v>0</v>
      </c>
      <c r="K45" s="146">
        <f t="shared" si="8"/>
        <v>0</v>
      </c>
      <c r="L45" s="146">
        <f t="shared" ref="L45:L51" si="9">IF($E45="ne","-",H45+I45+J45+K45)</f>
        <v>2</v>
      </c>
      <c r="P45" s="146">
        <f t="shared" si="2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294" t="s">
        <v>62</v>
      </c>
      <c r="F46" s="297" t="s">
        <v>716</v>
      </c>
      <c r="G46" s="129" t="s">
        <v>74</v>
      </c>
      <c r="H46" s="122">
        <v>3</v>
      </c>
      <c r="I46" s="122">
        <v>1</v>
      </c>
      <c r="J46" s="122">
        <f t="shared" si="8"/>
        <v>0</v>
      </c>
      <c r="K46" s="122">
        <f t="shared" si="8"/>
        <v>0</v>
      </c>
      <c r="L46" s="123">
        <f t="shared" si="9"/>
        <v>4</v>
      </c>
      <c r="P46" s="129">
        <f t="shared" si="2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294" t="s">
        <v>62</v>
      </c>
      <c r="F47" s="297" t="s">
        <v>717</v>
      </c>
      <c r="G47" s="129" t="s">
        <v>74</v>
      </c>
      <c r="H47" s="122">
        <v>1</v>
      </c>
      <c r="I47" s="122">
        <v>1</v>
      </c>
      <c r="J47" s="122">
        <f t="shared" si="8"/>
        <v>0</v>
      </c>
      <c r="K47" s="122">
        <f t="shared" si="8"/>
        <v>0</v>
      </c>
      <c r="L47" s="123">
        <f t="shared" si="9"/>
        <v>2</v>
      </c>
      <c r="P47" s="129">
        <f t="shared" si="2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294" t="s">
        <v>62</v>
      </c>
      <c r="F48" s="297" t="s">
        <v>717</v>
      </c>
      <c r="G48" s="129" t="s">
        <v>74</v>
      </c>
      <c r="H48" s="122">
        <v>1</v>
      </c>
      <c r="I48" s="122">
        <v>1</v>
      </c>
      <c r="J48" s="122">
        <f t="shared" si="8"/>
        <v>0</v>
      </c>
      <c r="K48" s="122">
        <f t="shared" si="8"/>
        <v>0</v>
      </c>
      <c r="L48" s="123">
        <f t="shared" si="9"/>
        <v>2</v>
      </c>
      <c r="P48" s="129">
        <f t="shared" si="2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294" t="s">
        <v>62</v>
      </c>
      <c r="F49" s="108" t="s">
        <v>718</v>
      </c>
      <c r="G49" s="129" t="s">
        <v>74</v>
      </c>
      <c r="H49" s="122">
        <v>4</v>
      </c>
      <c r="I49" s="122">
        <v>5</v>
      </c>
      <c r="J49" s="122">
        <f t="shared" si="8"/>
        <v>0</v>
      </c>
      <c r="K49" s="122">
        <f t="shared" si="8"/>
        <v>0</v>
      </c>
      <c r="L49" s="123">
        <f t="shared" si="9"/>
        <v>9</v>
      </c>
      <c r="P49" s="129">
        <f t="shared" si="2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294" t="s">
        <v>62</v>
      </c>
      <c r="F50" s="108" t="s">
        <v>719</v>
      </c>
      <c r="G50" s="129" t="s">
        <v>74</v>
      </c>
      <c r="H50" s="122">
        <v>6</v>
      </c>
      <c r="I50" s="122">
        <v>5</v>
      </c>
      <c r="J50" s="122">
        <f t="shared" si="8"/>
        <v>0</v>
      </c>
      <c r="K50" s="122">
        <f t="shared" si="8"/>
        <v>0</v>
      </c>
      <c r="L50" s="123">
        <f t="shared" si="9"/>
        <v>11</v>
      </c>
      <c r="P50" s="129">
        <f t="shared" si="2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203" t="s">
        <v>62</v>
      </c>
      <c r="F51" s="306" t="s">
        <v>720</v>
      </c>
      <c r="G51" s="129" t="s">
        <v>74</v>
      </c>
      <c r="H51" s="129">
        <f>IF($E51="ne","-",)</f>
        <v>0</v>
      </c>
      <c r="I51" s="129">
        <f>IF($E51="ne","-",)</f>
        <v>0</v>
      </c>
      <c r="J51" s="129">
        <v>3</v>
      </c>
      <c r="K51" s="129">
        <f>IF($E51="ne","-",)</f>
        <v>0</v>
      </c>
      <c r="L51" s="114">
        <f t="shared" si="9"/>
        <v>3</v>
      </c>
      <c r="P51" s="129">
        <f t="shared" si="2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294" t="s">
        <v>62</v>
      </c>
      <c r="F52" s="108" t="s">
        <v>721</v>
      </c>
      <c r="G52" s="146" t="s">
        <v>63</v>
      </c>
      <c r="H52" s="187">
        <v>1</v>
      </c>
      <c r="I52" s="146">
        <f>IF($E52="ne","-",)</f>
        <v>0</v>
      </c>
      <c r="J52" s="146">
        <f t="shared" ref="J52:J60" si="10">IF($E52="ne","-",)</f>
        <v>0</v>
      </c>
      <c r="K52" s="146">
        <f>IF($E52="ne","-",)</f>
        <v>0</v>
      </c>
      <c r="L52" s="316">
        <v>1</v>
      </c>
      <c r="P52" s="146">
        <f t="shared" si="2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294" t="s">
        <v>62</v>
      </c>
      <c r="F53" s="297" t="s">
        <v>441</v>
      </c>
      <c r="G53" s="129" t="s">
        <v>74</v>
      </c>
      <c r="H53" s="122">
        <v>1</v>
      </c>
      <c r="I53" s="122">
        <v>1</v>
      </c>
      <c r="J53" s="122">
        <f t="shared" si="10"/>
        <v>0</v>
      </c>
      <c r="K53" s="122">
        <f>IF($E53="ne","-",)</f>
        <v>0</v>
      </c>
      <c r="L53" s="123">
        <f>IF($E53="ne","-",H53+I53+J53+K53)</f>
        <v>2</v>
      </c>
      <c r="P53" s="129">
        <f t="shared" si="2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203" t="s">
        <v>62</v>
      </c>
      <c r="F54" s="306" t="s">
        <v>441</v>
      </c>
      <c r="G54" s="134" t="s">
        <v>74</v>
      </c>
      <c r="H54" s="137">
        <v>1</v>
      </c>
      <c r="I54" s="137">
        <v>1</v>
      </c>
      <c r="J54" s="137">
        <f t="shared" si="10"/>
        <v>0</v>
      </c>
      <c r="K54" s="137">
        <f>IF($E54="ne","-",)</f>
        <v>0</v>
      </c>
      <c r="L54" s="138">
        <f>IF($E54="ne","-",H54+I54+J54+K54)</f>
        <v>2</v>
      </c>
      <c r="P54" s="134">
        <f t="shared" si="2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294" t="s">
        <v>62</v>
      </c>
      <c r="F55" s="108" t="s">
        <v>722</v>
      </c>
      <c r="G55" s="129" t="s">
        <v>63</v>
      </c>
      <c r="H55" s="122">
        <v>0</v>
      </c>
      <c r="I55" s="122">
        <f>IF($E55="ne","-",)</f>
        <v>0</v>
      </c>
      <c r="J55" s="122">
        <f t="shared" si="10"/>
        <v>0</v>
      </c>
      <c r="K55" s="122">
        <v>8</v>
      </c>
      <c r="L55" s="123">
        <f>IF($E55="ne","-",H55+I55+J55+K55)</f>
        <v>8</v>
      </c>
      <c r="P55" s="129">
        <f t="shared" si="2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294" t="s">
        <v>62</v>
      </c>
      <c r="F56" s="108" t="s">
        <v>723</v>
      </c>
      <c r="G56" s="129" t="s">
        <v>63</v>
      </c>
      <c r="H56" s="122">
        <v>6</v>
      </c>
      <c r="I56" s="122">
        <v>0</v>
      </c>
      <c r="J56" s="122">
        <f t="shared" si="10"/>
        <v>0</v>
      </c>
      <c r="K56" s="122">
        <v>2</v>
      </c>
      <c r="L56" s="123">
        <f>IF($E56="ne","-",H56+I56+J56+K56)</f>
        <v>8</v>
      </c>
      <c r="P56" s="129">
        <f t="shared" si="2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203" t="s">
        <v>62</v>
      </c>
      <c r="F57" s="306" t="s">
        <v>724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10"/>
        <v>0</v>
      </c>
      <c r="K57" s="137">
        <f>IF($E57="ne","-",)</f>
        <v>0</v>
      </c>
      <c r="L57" s="138">
        <v>1</v>
      </c>
      <c r="P57" s="134">
        <f t="shared" si="2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294" t="s">
        <v>62</v>
      </c>
      <c r="F58" s="223" t="s">
        <v>725</v>
      </c>
      <c r="G58" s="129" t="s">
        <v>63</v>
      </c>
      <c r="H58" s="122">
        <v>6</v>
      </c>
      <c r="I58" s="122">
        <v>5</v>
      </c>
      <c r="J58" s="122">
        <f t="shared" si="10"/>
        <v>0</v>
      </c>
      <c r="K58" s="122">
        <v>1</v>
      </c>
      <c r="L58" s="123">
        <f>IF($E58="ne","-",H58+I58+J58+K58)</f>
        <v>12</v>
      </c>
      <c r="P58" s="129">
        <f t="shared" si="2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203" t="s">
        <v>62</v>
      </c>
      <c r="F59" s="306" t="s">
        <v>726</v>
      </c>
      <c r="G59" s="134" t="s">
        <v>63</v>
      </c>
      <c r="H59" s="137">
        <v>2</v>
      </c>
      <c r="I59" s="137">
        <v>2</v>
      </c>
      <c r="J59" s="137">
        <f t="shared" si="10"/>
        <v>0</v>
      </c>
      <c r="K59" s="137">
        <f t="shared" ref="K59:K67" si="11">IF($E59="ne","-",)</f>
        <v>0</v>
      </c>
      <c r="L59" s="138">
        <f>IF($E59="ne","-",H59+I59+J59+K59)</f>
        <v>4</v>
      </c>
      <c r="P59" s="129">
        <f t="shared" si="2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299" t="s">
        <v>62</v>
      </c>
      <c r="F60" s="223" t="s">
        <v>296</v>
      </c>
      <c r="G60" s="146" t="s">
        <v>74</v>
      </c>
      <c r="H60" s="187">
        <v>2</v>
      </c>
      <c r="I60" s="187">
        <v>2</v>
      </c>
      <c r="J60" s="187">
        <f t="shared" si="10"/>
        <v>0</v>
      </c>
      <c r="K60" s="187">
        <f t="shared" si="11"/>
        <v>0</v>
      </c>
      <c r="L60" s="184">
        <f>IF($E60="ne","-",H60+I60+J60+K60)</f>
        <v>4</v>
      </c>
      <c r="M60" s="146"/>
      <c r="N60" s="146"/>
      <c r="O60" s="146"/>
      <c r="P60" s="146">
        <f t="shared" si="2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294" t="s">
        <v>62</v>
      </c>
      <c r="F61" s="297" t="s">
        <v>727</v>
      </c>
      <c r="G61" s="129" t="s">
        <v>74</v>
      </c>
      <c r="H61" s="122">
        <f t="shared" ref="H61:I67" si="12">IF($E61="ne","-",)</f>
        <v>0</v>
      </c>
      <c r="I61" s="122">
        <f t="shared" si="12"/>
        <v>0</v>
      </c>
      <c r="J61" s="122">
        <v>2</v>
      </c>
      <c r="K61" s="122">
        <f t="shared" si="11"/>
        <v>0</v>
      </c>
      <c r="L61" s="123">
        <f>IF($E61="ne","-",H61+I61+J61+K61)</f>
        <v>2</v>
      </c>
      <c r="P61" s="129">
        <f t="shared" si="2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294" t="s">
        <v>62</v>
      </c>
      <c r="F62" s="297" t="s">
        <v>685</v>
      </c>
      <c r="G62" s="129" t="s">
        <v>74</v>
      </c>
      <c r="H62" s="122">
        <f t="shared" si="12"/>
        <v>0</v>
      </c>
      <c r="I62" s="122">
        <f t="shared" si="12"/>
        <v>0</v>
      </c>
      <c r="J62" s="122">
        <v>2</v>
      </c>
      <c r="K62" s="122">
        <f t="shared" si="11"/>
        <v>0</v>
      </c>
      <c r="L62" s="123">
        <f>IF($E62="ne","-",H62+I62+J62+K62)</f>
        <v>2</v>
      </c>
      <c r="P62" s="129">
        <f t="shared" si="2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294" t="s">
        <v>62</v>
      </c>
      <c r="F63" s="297" t="s">
        <v>686</v>
      </c>
      <c r="G63" s="129" t="s">
        <v>74</v>
      </c>
      <c r="H63" s="122">
        <f t="shared" si="12"/>
        <v>0</v>
      </c>
      <c r="I63" s="122">
        <f t="shared" si="12"/>
        <v>0</v>
      </c>
      <c r="J63" s="122">
        <f>IF($E63="ne","-",)</f>
        <v>0</v>
      </c>
      <c r="K63" s="122">
        <f t="shared" si="11"/>
        <v>0</v>
      </c>
      <c r="L63" s="123">
        <v>1</v>
      </c>
      <c r="P63" s="129">
        <f t="shared" si="2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294" t="s">
        <v>62</v>
      </c>
      <c r="F64" s="297" t="s">
        <v>687</v>
      </c>
      <c r="G64" s="129" t="s">
        <v>74</v>
      </c>
      <c r="H64" s="122">
        <f t="shared" si="12"/>
        <v>0</v>
      </c>
      <c r="I64" s="122">
        <f t="shared" si="12"/>
        <v>0</v>
      </c>
      <c r="J64" s="122">
        <v>2</v>
      </c>
      <c r="K64" s="122">
        <f t="shared" si="11"/>
        <v>0</v>
      </c>
      <c r="L64" s="123">
        <f>IF($E64="ne","-",H64+I64+J64+K64)</f>
        <v>2</v>
      </c>
      <c r="P64" s="129">
        <f t="shared" si="2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294" t="s">
        <v>62</v>
      </c>
      <c r="F65" s="108" t="s">
        <v>688</v>
      </c>
      <c r="G65" s="129" t="s">
        <v>74</v>
      </c>
      <c r="H65" s="122">
        <f t="shared" si="12"/>
        <v>0</v>
      </c>
      <c r="I65" s="122">
        <f t="shared" si="12"/>
        <v>0</v>
      </c>
      <c r="J65" s="122">
        <v>1</v>
      </c>
      <c r="K65" s="122">
        <f t="shared" si="11"/>
        <v>0</v>
      </c>
      <c r="L65" s="123">
        <f>IF($E65="ne","-",H65+I65+J65+K65)</f>
        <v>1</v>
      </c>
      <c r="P65" s="129">
        <f t="shared" si="2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294" t="s">
        <v>225</v>
      </c>
      <c r="F66" s="111" t="s">
        <v>435</v>
      </c>
      <c r="G66" s="129" t="s">
        <v>74</v>
      </c>
      <c r="H66" s="122">
        <f t="shared" si="12"/>
        <v>0</v>
      </c>
      <c r="I66" s="122">
        <f t="shared" si="12"/>
        <v>0</v>
      </c>
      <c r="J66" s="122">
        <f>IF($E66="ne","-",)</f>
        <v>0</v>
      </c>
      <c r="K66" s="122">
        <f t="shared" si="11"/>
        <v>0</v>
      </c>
      <c r="L66" s="123">
        <v>1</v>
      </c>
      <c r="P66" s="129">
        <f t="shared" si="2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294" t="s">
        <v>62</v>
      </c>
      <c r="F67" s="108" t="s">
        <v>699</v>
      </c>
      <c r="G67" s="129" t="s">
        <v>74</v>
      </c>
      <c r="H67" s="122">
        <f t="shared" si="12"/>
        <v>0</v>
      </c>
      <c r="I67" s="122">
        <f t="shared" si="12"/>
        <v>0</v>
      </c>
      <c r="J67" s="122">
        <v>2</v>
      </c>
      <c r="K67" s="122">
        <f t="shared" si="11"/>
        <v>0</v>
      </c>
      <c r="L67" s="123">
        <f>IF($E67="ne","-",H67+I67+J67+K67)</f>
        <v>2</v>
      </c>
      <c r="P67" s="129">
        <f t="shared" si="2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294" t="s">
        <v>62</v>
      </c>
      <c r="F68" s="108" t="s">
        <v>728</v>
      </c>
      <c r="G68" s="129" t="s">
        <v>74</v>
      </c>
      <c r="H68" s="129">
        <v>0</v>
      </c>
      <c r="I68" s="129">
        <v>0</v>
      </c>
      <c r="J68" s="122">
        <v>4</v>
      </c>
      <c r="K68" s="129">
        <v>0</v>
      </c>
      <c r="L68" s="123">
        <f>IF($E68="ne","-",H68+I68+J68+K68)</f>
        <v>4</v>
      </c>
      <c r="P68" s="129">
        <f t="shared" si="2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294" t="s">
        <v>62</v>
      </c>
      <c r="F69" s="297" t="s">
        <v>729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2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2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294" t="s">
        <v>62</v>
      </c>
      <c r="F71" s="108" t="s">
        <v>649</v>
      </c>
      <c r="G71" s="129" t="s">
        <v>74</v>
      </c>
      <c r="H71" s="122">
        <f>IF($E71="ne","-",)</f>
        <v>0</v>
      </c>
      <c r="I71" s="122">
        <f>IF($E71="ne","-",)</f>
        <v>0</v>
      </c>
      <c r="J71" s="122">
        <f>IF($E71="ne","-",)</f>
        <v>0</v>
      </c>
      <c r="K71" s="122">
        <f>IF($E71="ne","-",)</f>
        <v>0</v>
      </c>
      <c r="L71" s="123">
        <v>1</v>
      </c>
      <c r="P71" s="129">
        <f t="shared" si="2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294" t="s">
        <v>62</v>
      </c>
      <c r="F72" s="108" t="s">
        <v>730</v>
      </c>
      <c r="G72" s="129" t="s">
        <v>74</v>
      </c>
      <c r="H72" s="317">
        <v>0</v>
      </c>
      <c r="I72" s="122">
        <v>0</v>
      </c>
      <c r="J72" s="122">
        <f t="shared" ref="J72:K88" si="13">IF($E72="ne","-",)</f>
        <v>0</v>
      </c>
      <c r="K72" s="122">
        <f t="shared" si="13"/>
        <v>0</v>
      </c>
      <c r="L72" s="318">
        <v>1</v>
      </c>
      <c r="M72" s="319"/>
      <c r="N72" s="319"/>
      <c r="O72" s="319"/>
      <c r="P72" s="319">
        <f t="shared" si="2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294" t="s">
        <v>62</v>
      </c>
      <c r="F73" s="108" t="s">
        <v>731</v>
      </c>
      <c r="G73" s="129" t="s">
        <v>74</v>
      </c>
      <c r="H73" s="317">
        <v>0</v>
      </c>
      <c r="I73" s="122">
        <v>0</v>
      </c>
      <c r="J73" s="122">
        <f t="shared" si="13"/>
        <v>0</v>
      </c>
      <c r="K73" s="122">
        <f t="shared" si="13"/>
        <v>0</v>
      </c>
      <c r="L73" s="318">
        <v>1</v>
      </c>
      <c r="M73" s="108"/>
      <c r="N73" s="108"/>
      <c r="O73" s="108"/>
      <c r="P73" s="108">
        <f t="shared" si="2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203" t="s">
        <v>62</v>
      </c>
      <c r="F74" s="109" t="s">
        <v>649</v>
      </c>
      <c r="G74" s="134" t="s">
        <v>74</v>
      </c>
      <c r="H74" s="137">
        <v>1</v>
      </c>
      <c r="I74" s="137">
        <f>IF($E74="ne","-",)</f>
        <v>0</v>
      </c>
      <c r="J74" s="137">
        <f t="shared" si="13"/>
        <v>0</v>
      </c>
      <c r="K74" s="137">
        <f t="shared" si="13"/>
        <v>0</v>
      </c>
      <c r="L74" s="138">
        <v>1</v>
      </c>
      <c r="P74" s="134">
        <f t="shared" si="2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294" t="s">
        <v>62</v>
      </c>
      <c r="F75" s="297" t="s">
        <v>732</v>
      </c>
      <c r="G75" s="129" t="s">
        <v>74</v>
      </c>
      <c r="H75" s="122">
        <f t="shared" ref="H75:H76" si="14">IF($E75="ne","-",)</f>
        <v>0</v>
      </c>
      <c r="I75" s="122">
        <f>IF($E75="ne","-",)</f>
        <v>0</v>
      </c>
      <c r="J75" s="122">
        <f t="shared" si="13"/>
        <v>0</v>
      </c>
      <c r="K75" s="122">
        <f t="shared" si="13"/>
        <v>0</v>
      </c>
      <c r="L75" s="123">
        <v>1</v>
      </c>
      <c r="P75" s="129">
        <f t="shared" si="2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294" t="s">
        <v>62</v>
      </c>
      <c r="F76" s="297" t="s">
        <v>733</v>
      </c>
      <c r="G76" s="129" t="s">
        <v>74</v>
      </c>
      <c r="H76" s="122">
        <f t="shared" si="14"/>
        <v>0</v>
      </c>
      <c r="I76" s="122">
        <f>IF($E76="ne","-",)</f>
        <v>0</v>
      </c>
      <c r="J76" s="122">
        <f t="shared" si="13"/>
        <v>0</v>
      </c>
      <c r="K76" s="122">
        <f t="shared" si="13"/>
        <v>0</v>
      </c>
      <c r="L76" s="123">
        <v>1</v>
      </c>
      <c r="P76" s="129">
        <f t="shared" si="2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203" t="s">
        <v>62</v>
      </c>
      <c r="F77" s="306" t="s">
        <v>460</v>
      </c>
      <c r="G77" s="134" t="s">
        <v>74</v>
      </c>
      <c r="H77" s="137">
        <v>1</v>
      </c>
      <c r="I77" s="137">
        <f>IF($E77="ne","-",)</f>
        <v>0</v>
      </c>
      <c r="J77" s="137">
        <f t="shared" si="13"/>
        <v>0</v>
      </c>
      <c r="K77" s="137">
        <f t="shared" si="13"/>
        <v>0</v>
      </c>
      <c r="L77" s="138">
        <v>1</v>
      </c>
      <c r="M77" s="109"/>
      <c r="N77" s="109"/>
      <c r="O77" s="109"/>
      <c r="P77" s="109">
        <f t="shared" ref="P77:P87" si="15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294" t="s">
        <v>62</v>
      </c>
      <c r="F78" s="297" t="s">
        <v>734</v>
      </c>
      <c r="G78" s="129" t="s">
        <v>74</v>
      </c>
      <c r="H78" s="122">
        <v>1</v>
      </c>
      <c r="I78" s="122">
        <v>1</v>
      </c>
      <c r="J78" s="122">
        <f t="shared" si="13"/>
        <v>0</v>
      </c>
      <c r="K78" s="122">
        <f t="shared" si="13"/>
        <v>0</v>
      </c>
      <c r="L78" s="123">
        <f>IF($E78="ne","-",H78+I78+J78+K78)</f>
        <v>2</v>
      </c>
      <c r="P78" s="129">
        <f t="shared" si="15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294" t="s">
        <v>62</v>
      </c>
      <c r="F79" s="297" t="s">
        <v>735</v>
      </c>
      <c r="G79" s="129" t="s">
        <v>74</v>
      </c>
      <c r="H79" s="122">
        <v>1</v>
      </c>
      <c r="I79" s="122">
        <v>1</v>
      </c>
      <c r="J79" s="122">
        <f t="shared" si="13"/>
        <v>0</v>
      </c>
      <c r="K79" s="122">
        <f t="shared" si="13"/>
        <v>0</v>
      </c>
      <c r="L79" s="123">
        <v>2</v>
      </c>
      <c r="P79" s="129">
        <f t="shared" si="15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203" t="s">
        <v>62</v>
      </c>
      <c r="F80" s="306" t="s">
        <v>699</v>
      </c>
      <c r="G80" s="134" t="s">
        <v>74</v>
      </c>
      <c r="H80" s="137">
        <v>1</v>
      </c>
      <c r="I80" s="137">
        <v>1</v>
      </c>
      <c r="J80" s="137">
        <f t="shared" si="13"/>
        <v>0</v>
      </c>
      <c r="K80" s="137">
        <f t="shared" si="13"/>
        <v>0</v>
      </c>
      <c r="L80" s="138">
        <v>2</v>
      </c>
      <c r="P80" s="134">
        <f t="shared" si="15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294" t="s">
        <v>62</v>
      </c>
      <c r="F81" s="108" t="s">
        <v>736</v>
      </c>
      <c r="G81" s="129" t="s">
        <v>74</v>
      </c>
      <c r="H81" s="122">
        <v>1</v>
      </c>
      <c r="I81" s="122">
        <v>1</v>
      </c>
      <c r="J81" s="122">
        <f t="shared" si="13"/>
        <v>0</v>
      </c>
      <c r="K81" s="122">
        <f t="shared" si="13"/>
        <v>0</v>
      </c>
      <c r="L81" s="123">
        <v>2</v>
      </c>
      <c r="P81" s="129">
        <f t="shared" si="15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294" t="s">
        <v>62</v>
      </c>
      <c r="F82" s="297" t="s">
        <v>556</v>
      </c>
      <c r="G82" s="129" t="s">
        <v>74</v>
      </c>
      <c r="H82" s="122">
        <f t="shared" ref="H82:I88" si="16">IF($E82="ne","-",)</f>
        <v>0</v>
      </c>
      <c r="I82" s="122">
        <v>1</v>
      </c>
      <c r="J82" s="122">
        <f t="shared" si="13"/>
        <v>0</v>
      </c>
      <c r="K82" s="122">
        <f t="shared" si="13"/>
        <v>0</v>
      </c>
      <c r="L82" s="123">
        <v>1</v>
      </c>
      <c r="P82" s="129">
        <f t="shared" si="15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203" t="s">
        <v>62</v>
      </c>
      <c r="F83" s="306" t="s">
        <v>689</v>
      </c>
      <c r="G83" s="134" t="s">
        <v>74</v>
      </c>
      <c r="H83" s="137">
        <v>1</v>
      </c>
      <c r="I83" s="137">
        <v>1</v>
      </c>
      <c r="J83" s="137">
        <f t="shared" si="13"/>
        <v>0</v>
      </c>
      <c r="K83" s="137">
        <f t="shared" si="13"/>
        <v>0</v>
      </c>
      <c r="L83" s="138">
        <f>IF($E83="ne","-",H83+I83+J83+K83)</f>
        <v>2</v>
      </c>
      <c r="P83" s="134">
        <f t="shared" si="15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203" t="s">
        <v>62</v>
      </c>
      <c r="F84" s="320" t="s">
        <v>701</v>
      </c>
      <c r="G84" s="134" t="s">
        <v>74</v>
      </c>
      <c r="H84" s="137">
        <f t="shared" si="16"/>
        <v>0</v>
      </c>
      <c r="I84" s="137">
        <f t="shared" si="16"/>
        <v>0</v>
      </c>
      <c r="J84" s="137">
        <f t="shared" si="13"/>
        <v>0</v>
      </c>
      <c r="K84" s="137">
        <f t="shared" si="13"/>
        <v>0</v>
      </c>
      <c r="L84" s="138">
        <v>1</v>
      </c>
      <c r="M84" s="109"/>
      <c r="N84" s="109"/>
      <c r="O84" s="109"/>
      <c r="P84" s="109">
        <f t="shared" si="15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211" t="s">
        <v>62</v>
      </c>
      <c r="F85" s="110" t="s">
        <v>481</v>
      </c>
      <c r="G85" s="155" t="s">
        <v>74</v>
      </c>
      <c r="H85" s="156">
        <f t="shared" si="16"/>
        <v>0</v>
      </c>
      <c r="I85" s="156">
        <f t="shared" si="16"/>
        <v>0</v>
      </c>
      <c r="J85" s="156">
        <f t="shared" si="13"/>
        <v>0</v>
      </c>
      <c r="K85" s="156">
        <f t="shared" si="13"/>
        <v>0</v>
      </c>
      <c r="L85" s="138">
        <v>1</v>
      </c>
      <c r="P85" s="155">
        <f t="shared" si="15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211" t="s">
        <v>62</v>
      </c>
      <c r="F86" s="107" t="s">
        <v>737</v>
      </c>
      <c r="G86" s="155" t="s">
        <v>74</v>
      </c>
      <c r="H86" s="155">
        <f t="shared" si="16"/>
        <v>0</v>
      </c>
      <c r="I86" s="155">
        <f t="shared" si="16"/>
        <v>0</v>
      </c>
      <c r="J86" s="155">
        <f t="shared" si="13"/>
        <v>0</v>
      </c>
      <c r="K86" s="155">
        <f t="shared" si="13"/>
        <v>0</v>
      </c>
      <c r="L86" s="160">
        <v>1</v>
      </c>
      <c r="M86" s="155"/>
      <c r="N86" s="155"/>
      <c r="O86" s="155"/>
      <c r="P86" s="155">
        <f t="shared" si="15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5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294" t="s">
        <v>62</v>
      </c>
      <c r="F88" s="297" t="s">
        <v>280</v>
      </c>
      <c r="G88" s="129"/>
      <c r="H88" s="129">
        <f t="shared" si="16"/>
        <v>0</v>
      </c>
      <c r="I88" s="129"/>
      <c r="J88" s="129">
        <f t="shared" si="13"/>
        <v>0</v>
      </c>
      <c r="K88" s="129">
        <f t="shared" si="13"/>
        <v>0</v>
      </c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301"/>
      <c r="F89" s="302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291"/>
      <c r="F90" s="292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211" t="s">
        <v>62</v>
      </c>
      <c r="F91" s="110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211" t="s">
        <v>62</v>
      </c>
      <c r="F92" s="107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211" t="s">
        <v>62</v>
      </c>
      <c r="F93" s="110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299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299" t="s">
        <v>62</v>
      </c>
      <c r="F95" s="344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16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5" spans="1:16" x14ac:dyDescent="0.25">
      <c r="B105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6:E8 E15:E23 E26:E27">
    <cfRule type="cellIs" dxfId="305" priority="90" operator="equal">
      <formula>"ne"</formula>
    </cfRule>
  </conditionalFormatting>
  <conditionalFormatting sqref="E10:E13">
    <cfRule type="cellIs" dxfId="304" priority="74" operator="equal">
      <formula>"ne"</formula>
    </cfRule>
  </conditionalFormatting>
  <conditionalFormatting sqref="E42:E43">
    <cfRule type="cellIs" dxfId="303" priority="67" operator="equal">
      <formula>"ne"</formula>
    </cfRule>
  </conditionalFormatting>
  <conditionalFormatting sqref="E88:E91">
    <cfRule type="cellIs" dxfId="302" priority="48" operator="equal">
      <formula>"ne"</formula>
    </cfRule>
  </conditionalFormatting>
  <conditionalFormatting sqref="E96">
    <cfRule type="cellIs" dxfId="301" priority="51" operator="equal">
      <formula>"ne"</formula>
    </cfRule>
  </conditionalFormatting>
  <conditionalFormatting sqref="H3">
    <cfRule type="cellIs" dxfId="300" priority="35" operator="equal">
      <formula>"-"</formula>
    </cfRule>
    <cfRule type="cellIs" dxfId="299" priority="36" operator="between">
      <formula>0.0001</formula>
      <formula>10000</formula>
    </cfRule>
  </conditionalFormatting>
  <conditionalFormatting sqref="H4:K6 I7:K8 H9:K13 I14:K14 H29:K29 H30:I30 K30 H31:K31 I32:K35 H36:K41 H15:K23">
    <cfRule type="cellIs" dxfId="298" priority="87" operator="between">
      <formula>0.0001</formula>
      <formula>10000</formula>
    </cfRule>
  </conditionalFormatting>
  <conditionalFormatting sqref="H4:K6 I7:K8 H9:K13 I14:K14 H15:K23 H26:K27">
    <cfRule type="cellIs" dxfId="297" priority="72" operator="equal">
      <formula>"-"</formula>
    </cfRule>
  </conditionalFormatting>
  <conditionalFormatting sqref="H26:K27">
    <cfRule type="cellIs" dxfId="296" priority="71" operator="between">
      <formula>0.0001</formula>
      <formula>1000</formula>
    </cfRule>
  </conditionalFormatting>
  <conditionalFormatting sqref="H29:K29 H30:I30 K30 H31:K31 I32:K35 H36:K43">
    <cfRule type="cellIs" dxfId="295" priority="65" operator="equal">
      <formula>"-"</formula>
    </cfRule>
  </conditionalFormatting>
  <conditionalFormatting sqref="H42:K43">
    <cfRule type="cellIs" dxfId="294" priority="64" operator="between">
      <formula>0.0001</formula>
      <formula>1000</formula>
    </cfRule>
  </conditionalFormatting>
  <conditionalFormatting sqref="H46:K51 H53:K67">
    <cfRule type="cellIs" dxfId="293" priority="39" operator="between">
      <formula>0.0001</formula>
      <formula>10000</formula>
    </cfRule>
    <cfRule type="cellIs" dxfId="292" priority="40" operator="equal">
      <formula>"-"</formula>
    </cfRule>
  </conditionalFormatting>
  <conditionalFormatting sqref="H69:K69 H71:K90">
    <cfRule type="cellIs" dxfId="291" priority="42" operator="between">
      <formula>0.0001</formula>
      <formula>1000</formula>
    </cfRule>
    <cfRule type="cellIs" dxfId="290" priority="43" operator="equal">
      <formula>"-"</formula>
    </cfRule>
  </conditionalFormatting>
  <conditionalFormatting sqref="H96:K96">
    <cfRule type="cellIs" dxfId="289" priority="49" operator="between">
      <formula>0.0001</formula>
      <formula>1000</formula>
    </cfRule>
    <cfRule type="cellIs" dxfId="288" priority="50" operator="equal">
      <formula>"-"</formula>
    </cfRule>
  </conditionalFormatting>
  <conditionalFormatting sqref="J68">
    <cfRule type="cellIs" dxfId="287" priority="37" operator="between">
      <formula>0.0001</formula>
      <formula>10000</formula>
    </cfRule>
    <cfRule type="cellIs" dxfId="286" priority="38" operator="equal">
      <formula>"-"</formula>
    </cfRule>
  </conditionalFormatting>
  <conditionalFormatting sqref="L4:L13 L15:L22">
    <cfRule type="cellIs" dxfId="285" priority="89" operator="equal">
      <formula>0</formula>
    </cfRule>
  </conditionalFormatting>
  <conditionalFormatting sqref="L26">
    <cfRule type="cellIs" dxfId="284" priority="73" operator="equal">
      <formula>0</formula>
    </cfRule>
  </conditionalFormatting>
  <conditionalFormatting sqref="L29:L42">
    <cfRule type="cellIs" dxfId="283" priority="66" operator="equal">
      <formula>0</formula>
    </cfRule>
  </conditionalFormatting>
  <conditionalFormatting sqref="L46:L51 L53:L69 L71:L88">
    <cfRule type="cellIs" dxfId="282" priority="41" operator="equal">
      <formula>0</formula>
    </cfRule>
  </conditionalFormatting>
  <conditionalFormatting sqref="H7:H8">
    <cfRule type="cellIs" dxfId="281" priority="34" operator="between">
      <formula>0.0001</formula>
      <formula>10000</formula>
    </cfRule>
  </conditionalFormatting>
  <conditionalFormatting sqref="H7:H8">
    <cfRule type="cellIs" dxfId="280" priority="33" operator="equal">
      <formula>"-"</formula>
    </cfRule>
  </conditionalFormatting>
  <conditionalFormatting sqref="E14">
    <cfRule type="cellIs" dxfId="279" priority="32" operator="equal">
      <formula>"ne"</formula>
    </cfRule>
  </conditionalFormatting>
  <conditionalFormatting sqref="E29 E31">
    <cfRule type="cellIs" dxfId="278" priority="31" operator="equal">
      <formula>"ne"</formula>
    </cfRule>
  </conditionalFormatting>
  <conditionalFormatting sqref="E36 E38 E40:E41">
    <cfRule type="cellIs" dxfId="277" priority="30" operator="equal">
      <formula>"ne"</formula>
    </cfRule>
  </conditionalFormatting>
  <conditionalFormatting sqref="E45:E67">
    <cfRule type="cellIs" dxfId="276" priority="29" operator="equal">
      <formula>"ne"</formula>
    </cfRule>
  </conditionalFormatting>
  <conditionalFormatting sqref="E69 E71:E76 E78:E87">
    <cfRule type="cellIs" dxfId="275" priority="28" operator="equal">
      <formula>"ne"</formula>
    </cfRule>
  </conditionalFormatting>
  <conditionalFormatting sqref="H52">
    <cfRule type="cellIs" dxfId="274" priority="26" operator="between">
      <formula>0.0001</formula>
      <formula>10000</formula>
    </cfRule>
    <cfRule type="cellIs" dxfId="273" priority="27" operator="equal">
      <formula>"-"</formula>
    </cfRule>
  </conditionalFormatting>
  <conditionalFormatting sqref="E70">
    <cfRule type="cellIs" dxfId="272" priority="25" operator="equal">
      <formula>"ne"</formula>
    </cfRule>
  </conditionalFormatting>
  <conditionalFormatting sqref="H70:K70">
    <cfRule type="cellIs" dxfId="271" priority="23" operator="between">
      <formula>0.0001</formula>
      <formula>1000</formula>
    </cfRule>
    <cfRule type="cellIs" dxfId="270" priority="24" operator="equal">
      <formula>"-"</formula>
    </cfRule>
  </conditionalFormatting>
  <conditionalFormatting sqref="L70">
    <cfRule type="cellIs" dxfId="269" priority="22" operator="equal">
      <formula>0</formula>
    </cfRule>
  </conditionalFormatting>
  <conditionalFormatting sqref="E25">
    <cfRule type="cellIs" dxfId="268" priority="14" operator="equal">
      <formula>"ne"</formula>
    </cfRule>
  </conditionalFormatting>
  <conditionalFormatting sqref="H25:K25">
    <cfRule type="cellIs" dxfId="267" priority="13" operator="equal">
      <formula>"-"</formula>
    </cfRule>
  </conditionalFormatting>
  <conditionalFormatting sqref="H25:K25">
    <cfRule type="cellIs" dxfId="266" priority="15" operator="between">
      <formula>0.0001</formula>
      <formula>1000</formula>
    </cfRule>
  </conditionalFormatting>
  <conditionalFormatting sqref="E30">
    <cfRule type="cellIs" dxfId="265" priority="12" operator="equal">
      <formula>"ne"</formula>
    </cfRule>
  </conditionalFormatting>
  <conditionalFormatting sqref="E32:E35">
    <cfRule type="cellIs" dxfId="264" priority="11" operator="equal">
      <formula>"ne"</formula>
    </cfRule>
  </conditionalFormatting>
  <conditionalFormatting sqref="E37">
    <cfRule type="cellIs" dxfId="263" priority="10" operator="equal">
      <formula>"ne"</formula>
    </cfRule>
  </conditionalFormatting>
  <conditionalFormatting sqref="E39">
    <cfRule type="cellIs" dxfId="262" priority="9" operator="equal">
      <formula>"ne"</formula>
    </cfRule>
  </conditionalFormatting>
  <conditionalFormatting sqref="E77">
    <cfRule type="cellIs" dxfId="261" priority="8" operator="equal">
      <formula>"ne"</formula>
    </cfRule>
  </conditionalFormatting>
  <conditionalFormatting sqref="E24:E25">
    <cfRule type="cellIs" dxfId="260" priority="7" operator="equal">
      <formula>"ne"</formula>
    </cfRule>
  </conditionalFormatting>
  <conditionalFormatting sqref="H24:K25">
    <cfRule type="cellIs" dxfId="259" priority="5" operator="between">
      <formula>0.0001</formula>
      <formula>1000</formula>
    </cfRule>
    <cfRule type="cellIs" dxfId="258" priority="6" operator="equal">
      <formula>"-"</formula>
    </cfRule>
  </conditionalFormatting>
  <conditionalFormatting sqref="L24:L25">
    <cfRule type="cellIs" dxfId="257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1850-18B6-4331-970B-90A1D929D6E9}">
  <sheetPr>
    <tabColor theme="9" tint="0.39997558519241921"/>
  </sheetPr>
  <dimension ref="A1:Q105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7.425781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291" t="s">
        <v>278</v>
      </c>
      <c r="F1" s="292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293" t="s">
        <v>56</v>
      </c>
      <c r="F2" s="293"/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294" t="s">
        <v>62</v>
      </c>
      <c r="F3" s="295" t="s">
        <v>659</v>
      </c>
      <c r="G3" s="119" t="s">
        <v>103</v>
      </c>
      <c r="H3" s="122">
        <f>254+269+25</f>
        <v>548</v>
      </c>
      <c r="I3" s="122"/>
      <c r="J3" s="122">
        <v>7</v>
      </c>
      <c r="K3" s="122">
        <v>41</v>
      </c>
      <c r="L3" s="123">
        <f t="shared" ref="L3:L38" si="0">IF($E3="ne","-",H3+I3+J3+K3)</f>
        <v>596</v>
      </c>
      <c r="N3" s="122"/>
      <c r="P3" s="122">
        <f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294" t="s">
        <v>62</v>
      </c>
      <c r="F4" s="295" t="s">
        <v>660</v>
      </c>
      <c r="G4" s="129" t="s">
        <v>103</v>
      </c>
      <c r="H4" s="122">
        <f>IF($E4="ne","-",)</f>
        <v>0</v>
      </c>
      <c r="I4" s="122">
        <f>166+5+4+5</f>
        <v>180</v>
      </c>
      <c r="J4" s="122">
        <v>7</v>
      </c>
      <c r="K4" s="122">
        <f>IF($E4="ne","-",)</f>
        <v>0</v>
      </c>
      <c r="L4" s="123">
        <f t="shared" si="0"/>
        <v>187</v>
      </c>
      <c r="P4" s="122">
        <f>IFERROR(N4+O4,"-")</f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294" t="s">
        <v>62</v>
      </c>
      <c r="F5" s="295" t="s">
        <v>661</v>
      </c>
      <c r="G5" s="129" t="s">
        <v>103</v>
      </c>
      <c r="H5" s="122">
        <v>0</v>
      </c>
      <c r="I5" s="122">
        <f t="shared" ref="I5:K18" si="1">IF($E5="ne","-",)</f>
        <v>0</v>
      </c>
      <c r="J5" s="122">
        <f t="shared" si="1"/>
        <v>0</v>
      </c>
      <c r="K5" s="122">
        <f>31</f>
        <v>31</v>
      </c>
      <c r="L5" s="123">
        <f t="shared" si="0"/>
        <v>31</v>
      </c>
      <c r="P5" s="122">
        <f t="shared" ref="P5:P77" si="2">IFERROR(N5+O5,"-")</f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294" t="s">
        <v>113</v>
      </c>
      <c r="F6" s="296"/>
      <c r="G6" s="129" t="s">
        <v>103</v>
      </c>
      <c r="H6" s="122" t="s">
        <v>154</v>
      </c>
      <c r="I6" s="122" t="str">
        <f t="shared" si="1"/>
        <v>-</v>
      </c>
      <c r="J6" s="122" t="str">
        <f t="shared" si="1"/>
        <v>-</v>
      </c>
      <c r="K6" s="122" t="str">
        <f t="shared" si="1"/>
        <v>-</v>
      </c>
      <c r="L6" s="123" t="str">
        <f t="shared" si="0"/>
        <v>-</v>
      </c>
      <c r="P6" s="129">
        <f t="shared" si="2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294" t="s">
        <v>113</v>
      </c>
      <c r="F7" s="296"/>
      <c r="G7" s="129" t="s">
        <v>103</v>
      </c>
      <c r="H7" s="122" t="s">
        <v>154</v>
      </c>
      <c r="I7" s="122" t="str">
        <f t="shared" si="1"/>
        <v>-</v>
      </c>
      <c r="J7" s="122" t="str">
        <f t="shared" si="1"/>
        <v>-</v>
      </c>
      <c r="K7" s="122" t="str">
        <f t="shared" si="1"/>
        <v>-</v>
      </c>
      <c r="L7" s="123" t="str">
        <f t="shared" si="0"/>
        <v>-</v>
      </c>
      <c r="P7" s="129">
        <f t="shared" si="2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294" t="s">
        <v>113</v>
      </c>
      <c r="F8" s="296"/>
      <c r="G8" s="129" t="s">
        <v>103</v>
      </c>
      <c r="H8" s="122" t="s">
        <v>154</v>
      </c>
      <c r="I8" s="122" t="str">
        <f t="shared" si="1"/>
        <v>-</v>
      </c>
      <c r="J8" s="122" t="str">
        <f t="shared" si="1"/>
        <v>-</v>
      </c>
      <c r="K8" s="122" t="str">
        <f t="shared" si="1"/>
        <v>-</v>
      </c>
      <c r="L8" s="123" t="str">
        <f t="shared" si="0"/>
        <v>-</v>
      </c>
      <c r="P8" s="129">
        <f t="shared" si="2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294" t="s">
        <v>113</v>
      </c>
      <c r="F9" s="296"/>
      <c r="G9" s="129" t="s">
        <v>103</v>
      </c>
      <c r="H9" s="122" t="str">
        <f t="shared" ref="H9:H39" si="3">IF($E9="ne","-",)</f>
        <v>-</v>
      </c>
      <c r="I9" s="122" t="str">
        <f t="shared" si="1"/>
        <v>-</v>
      </c>
      <c r="J9" s="122" t="str">
        <f t="shared" si="1"/>
        <v>-</v>
      </c>
      <c r="K9" s="122" t="str">
        <f t="shared" si="1"/>
        <v>-</v>
      </c>
      <c r="L9" s="123" t="str">
        <f t="shared" si="0"/>
        <v>-</v>
      </c>
      <c r="P9" s="129">
        <f t="shared" si="2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294" t="s">
        <v>62</v>
      </c>
      <c r="F10" s="108" t="s">
        <v>662</v>
      </c>
      <c r="G10" s="129" t="s">
        <v>103</v>
      </c>
      <c r="H10" s="122">
        <f t="shared" si="3"/>
        <v>0</v>
      </c>
      <c r="I10" s="122">
        <f t="shared" si="1"/>
        <v>0</v>
      </c>
      <c r="J10" s="122">
        <f t="shared" si="1"/>
        <v>0</v>
      </c>
      <c r="K10" s="122">
        <f t="shared" si="1"/>
        <v>0</v>
      </c>
      <c r="L10" s="123">
        <v>834</v>
      </c>
      <c r="P10" s="129">
        <f t="shared" si="2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294" t="s">
        <v>62</v>
      </c>
      <c r="F11" s="295" t="s">
        <v>663</v>
      </c>
      <c r="G11" s="129" t="s">
        <v>103</v>
      </c>
      <c r="H11" s="122">
        <f t="shared" si="3"/>
        <v>0</v>
      </c>
      <c r="I11" s="122">
        <f t="shared" si="1"/>
        <v>0</v>
      </c>
      <c r="J11" s="122">
        <f t="shared" si="1"/>
        <v>0</v>
      </c>
      <c r="K11" s="122">
        <v>51</v>
      </c>
      <c r="L11" s="123">
        <f t="shared" si="0"/>
        <v>51</v>
      </c>
      <c r="P11" s="129">
        <f t="shared" si="2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294" t="s">
        <v>62</v>
      </c>
      <c r="F12" s="297" t="s">
        <v>664</v>
      </c>
      <c r="G12" s="129" t="s">
        <v>74</v>
      </c>
      <c r="H12" s="122">
        <f t="shared" si="3"/>
        <v>0</v>
      </c>
      <c r="I12" s="122">
        <f t="shared" si="1"/>
        <v>0</v>
      </c>
      <c r="J12" s="122">
        <f t="shared" si="1"/>
        <v>0</v>
      </c>
      <c r="K12" s="122">
        <f t="shared" si="1"/>
        <v>0</v>
      </c>
      <c r="L12" s="123">
        <v>1</v>
      </c>
      <c r="P12" s="129">
        <f t="shared" si="2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294" t="s">
        <v>62</v>
      </c>
      <c r="F13" s="297" t="s">
        <v>665</v>
      </c>
      <c r="G13" s="129" t="s">
        <v>74</v>
      </c>
      <c r="H13" s="122">
        <f t="shared" si="3"/>
        <v>0</v>
      </c>
      <c r="I13" s="122">
        <f t="shared" si="1"/>
        <v>0</v>
      </c>
      <c r="J13" s="122">
        <f t="shared" si="1"/>
        <v>0</v>
      </c>
      <c r="K13" s="122">
        <f t="shared" si="1"/>
        <v>0</v>
      </c>
      <c r="L13" s="123">
        <v>1</v>
      </c>
      <c r="P13" s="129">
        <f t="shared" si="2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294" t="s">
        <v>225</v>
      </c>
      <c r="F14" s="108" t="s">
        <v>666</v>
      </c>
      <c r="G14" s="129" t="s">
        <v>103</v>
      </c>
      <c r="H14" s="122">
        <f t="shared" ref="H14:K15" si="4">IF($E14="ne","-",)</f>
        <v>0</v>
      </c>
      <c r="I14" s="122">
        <f t="shared" si="4"/>
        <v>0</v>
      </c>
      <c r="J14" s="122">
        <f t="shared" si="4"/>
        <v>0</v>
      </c>
      <c r="K14" s="122">
        <f t="shared" si="4"/>
        <v>0</v>
      </c>
      <c r="L14" s="123">
        <f t="shared" si="0"/>
        <v>0</v>
      </c>
      <c r="P14" s="129">
        <f t="shared" si="2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294" t="s">
        <v>113</v>
      </c>
      <c r="F15" s="296"/>
      <c r="G15" s="129" t="s">
        <v>103</v>
      </c>
      <c r="H15" s="122" t="str">
        <f t="shared" si="4"/>
        <v>-</v>
      </c>
      <c r="I15" s="122" t="str">
        <f t="shared" si="4"/>
        <v>-</v>
      </c>
      <c r="J15" s="122" t="str">
        <f t="shared" si="4"/>
        <v>-</v>
      </c>
      <c r="K15" s="122" t="str">
        <f t="shared" si="4"/>
        <v>-</v>
      </c>
      <c r="L15" s="123" t="str">
        <f t="shared" si="0"/>
        <v>-</v>
      </c>
      <c r="P15" s="129">
        <f t="shared" si="2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203" t="s">
        <v>113</v>
      </c>
      <c r="F16" s="298"/>
      <c r="G16" s="134" t="s">
        <v>103</v>
      </c>
      <c r="H16" s="137" t="str">
        <f t="shared" si="3"/>
        <v>-</v>
      </c>
      <c r="I16" s="137" t="str">
        <f t="shared" si="1"/>
        <v>-</v>
      </c>
      <c r="J16" s="137" t="str">
        <f t="shared" si="1"/>
        <v>-</v>
      </c>
      <c r="K16" s="137" t="str">
        <f t="shared" si="1"/>
        <v>-</v>
      </c>
      <c r="L16" s="138" t="str">
        <f t="shared" si="0"/>
        <v>-</v>
      </c>
      <c r="P16" s="134">
        <f t="shared" si="2"/>
        <v>0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299" t="s">
        <v>113</v>
      </c>
      <c r="F17" s="300"/>
      <c r="G17" s="146" t="s">
        <v>63</v>
      </c>
      <c r="H17" s="122" t="str">
        <f t="shared" si="3"/>
        <v>-</v>
      </c>
      <c r="I17" s="122" t="str">
        <f t="shared" si="1"/>
        <v>-</v>
      </c>
      <c r="J17" s="122" t="str">
        <f t="shared" si="1"/>
        <v>-</v>
      </c>
      <c r="K17" s="122" t="str">
        <f t="shared" si="1"/>
        <v>-</v>
      </c>
      <c r="L17" s="123" t="str">
        <f t="shared" si="0"/>
        <v>-</v>
      </c>
      <c r="P17" s="146">
        <f t="shared" si="2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203" t="s">
        <v>113</v>
      </c>
      <c r="F18" s="298"/>
      <c r="G18" s="134" t="s">
        <v>63</v>
      </c>
      <c r="H18" s="137" t="str">
        <f t="shared" si="3"/>
        <v>-</v>
      </c>
      <c r="I18" s="137" t="str">
        <f t="shared" si="1"/>
        <v>-</v>
      </c>
      <c r="J18" s="137" t="str">
        <f t="shared" si="1"/>
        <v>-</v>
      </c>
      <c r="K18" s="137" t="str">
        <f t="shared" si="1"/>
        <v>-</v>
      </c>
      <c r="L18" s="138" t="str">
        <f t="shared" si="0"/>
        <v>-</v>
      </c>
      <c r="P18" s="129">
        <f t="shared" si="2"/>
        <v>0</v>
      </c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299" t="s">
        <v>113</v>
      </c>
      <c r="F19" s="300"/>
      <c r="G19" s="146" t="s">
        <v>63</v>
      </c>
      <c r="H19" s="122" t="str">
        <f t="shared" si="3"/>
        <v>-</v>
      </c>
      <c r="I19" s="122" t="str">
        <f t="shared" ref="I19:I39" si="5">IF($E19="ne","-",)</f>
        <v>-</v>
      </c>
      <c r="J19" s="122">
        <v>0</v>
      </c>
      <c r="K19" s="122">
        <v>0</v>
      </c>
      <c r="L19" s="123" t="str">
        <f t="shared" si="0"/>
        <v>-</v>
      </c>
      <c r="P19" s="146">
        <f t="shared" si="2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294" t="s">
        <v>62</v>
      </c>
      <c r="F20" s="295" t="s">
        <v>667</v>
      </c>
      <c r="G20" s="129" t="s">
        <v>63</v>
      </c>
      <c r="H20" s="122">
        <f t="shared" si="3"/>
        <v>0</v>
      </c>
      <c r="I20" s="122">
        <v>2</v>
      </c>
      <c r="J20" s="122">
        <f t="shared" ref="J20:K39" si="6">IF($E20="ne","-",)</f>
        <v>0</v>
      </c>
      <c r="K20" s="122">
        <f t="shared" si="6"/>
        <v>0</v>
      </c>
      <c r="L20" s="123">
        <f t="shared" si="0"/>
        <v>2</v>
      </c>
      <c r="P20" s="129">
        <f t="shared" si="2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203" t="s">
        <v>113</v>
      </c>
      <c r="F21" s="298"/>
      <c r="G21" s="134" t="s">
        <v>63</v>
      </c>
      <c r="H21" s="137" t="str">
        <f t="shared" si="3"/>
        <v>-</v>
      </c>
      <c r="I21" s="122" t="str">
        <f t="shared" si="5"/>
        <v>-</v>
      </c>
      <c r="J21" s="122" t="str">
        <f t="shared" si="6"/>
        <v>-</v>
      </c>
      <c r="K21" s="122" t="str">
        <f t="shared" si="6"/>
        <v>-</v>
      </c>
      <c r="L21" s="138" t="str">
        <f t="shared" si="0"/>
        <v>-</v>
      </c>
      <c r="P21" s="134">
        <f t="shared" si="2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211" t="s">
        <v>62</v>
      </c>
      <c r="F22" s="110" t="s">
        <v>668</v>
      </c>
      <c r="G22" s="155" t="s">
        <v>74</v>
      </c>
      <c r="H22" s="156">
        <v>0</v>
      </c>
      <c r="I22" s="156">
        <f t="shared" si="5"/>
        <v>0</v>
      </c>
      <c r="J22" s="156">
        <v>2</v>
      </c>
      <c r="K22" s="156">
        <f t="shared" si="6"/>
        <v>0</v>
      </c>
      <c r="L22" s="138">
        <v>2</v>
      </c>
      <c r="P22" s="155">
        <f t="shared" si="2"/>
        <v>0</v>
      </c>
      <c r="Q22" s="155" t="s">
        <v>293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211" t="s">
        <v>62</v>
      </c>
      <c r="F23" s="110" t="s">
        <v>669</v>
      </c>
      <c r="G23" s="155" t="s">
        <v>74</v>
      </c>
      <c r="H23" s="156">
        <f t="shared" si="3"/>
        <v>0</v>
      </c>
      <c r="I23" s="156">
        <f t="shared" si="5"/>
        <v>0</v>
      </c>
      <c r="J23" s="156">
        <f t="shared" si="6"/>
        <v>0</v>
      </c>
      <c r="K23" s="156">
        <f t="shared" si="6"/>
        <v>0</v>
      </c>
      <c r="L23" s="138">
        <v>1</v>
      </c>
      <c r="P23" s="155">
        <f t="shared" si="2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211" t="s">
        <v>113</v>
      </c>
      <c r="F25" s="110"/>
      <c r="G25" s="155" t="s">
        <v>74</v>
      </c>
      <c r="H25" s="155">
        <v>0</v>
      </c>
      <c r="I25" s="155" t="str">
        <f>IF($E25="ne","-",)</f>
        <v>-</v>
      </c>
      <c r="J25" s="155" t="str">
        <f>IF($E25="ne","-",)</f>
        <v>-</v>
      </c>
      <c r="K25" s="155" t="str">
        <f>IF($E25="ne","-",)</f>
        <v>-</v>
      </c>
      <c r="L25" s="160" t="str">
        <f>IF($E25="ne","-",H25+I25+J25+K25)</f>
        <v>-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294" t="s">
        <v>62</v>
      </c>
      <c r="F26" s="297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301"/>
      <c r="F27" s="302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8" spans="1:17" x14ac:dyDescent="0.25">
      <c r="E28" s="294"/>
      <c r="F28" s="108"/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299" t="s">
        <v>113</v>
      </c>
      <c r="F29" s="300"/>
      <c r="G29" s="146" t="s">
        <v>63</v>
      </c>
      <c r="H29" s="187" t="str">
        <f t="shared" si="3"/>
        <v>-</v>
      </c>
      <c r="I29" s="187" t="str">
        <f t="shared" si="5"/>
        <v>-</v>
      </c>
      <c r="J29" s="187" t="str">
        <f t="shared" si="6"/>
        <v>-</v>
      </c>
      <c r="K29" s="187" t="str">
        <f t="shared" si="6"/>
        <v>-</v>
      </c>
      <c r="L29" s="184" t="str">
        <f t="shared" si="0"/>
        <v>-</v>
      </c>
      <c r="P29" s="146">
        <f t="shared" si="2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294" t="s">
        <v>225</v>
      </c>
      <c r="F30" s="108" t="s">
        <v>297</v>
      </c>
      <c r="G30" s="129" t="s">
        <v>63</v>
      </c>
      <c r="H30" s="122">
        <f t="shared" si="3"/>
        <v>0</v>
      </c>
      <c r="I30" s="122">
        <f t="shared" si="5"/>
        <v>0</v>
      </c>
      <c r="J30" s="122">
        <f t="shared" si="6"/>
        <v>0</v>
      </c>
      <c r="K30" s="122">
        <f t="shared" si="6"/>
        <v>0</v>
      </c>
      <c r="L30" s="123" t="s">
        <v>154</v>
      </c>
      <c r="P30" s="129">
        <f t="shared" si="2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294" t="s">
        <v>62</v>
      </c>
      <c r="F31" s="295" t="s">
        <v>621</v>
      </c>
      <c r="G31" s="129" t="s">
        <v>63</v>
      </c>
      <c r="H31" s="122">
        <f t="shared" si="3"/>
        <v>0</v>
      </c>
      <c r="I31" s="122">
        <v>1</v>
      </c>
      <c r="J31" s="122">
        <f t="shared" si="6"/>
        <v>0</v>
      </c>
      <c r="K31" s="122">
        <f t="shared" si="6"/>
        <v>0</v>
      </c>
      <c r="L31" s="123">
        <f t="shared" si="0"/>
        <v>1</v>
      </c>
      <c r="N31" s="303"/>
      <c r="P31" s="304">
        <f t="shared" si="2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294" t="s">
        <v>225</v>
      </c>
      <c r="F32" s="108" t="s">
        <v>297</v>
      </c>
      <c r="G32" s="129" t="s">
        <v>63</v>
      </c>
      <c r="H32" s="122">
        <f t="shared" si="3"/>
        <v>0</v>
      </c>
      <c r="I32" s="122">
        <f t="shared" si="5"/>
        <v>0</v>
      </c>
      <c r="J32" s="122">
        <f t="shared" si="6"/>
        <v>0</v>
      </c>
      <c r="K32" s="122">
        <f t="shared" si="6"/>
        <v>0</v>
      </c>
      <c r="L32" s="123" t="s">
        <v>154</v>
      </c>
      <c r="P32" s="129">
        <f t="shared" si="2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294" t="s">
        <v>225</v>
      </c>
      <c r="F33" s="108" t="s">
        <v>297</v>
      </c>
      <c r="G33" s="129" t="s">
        <v>63</v>
      </c>
      <c r="H33" s="122">
        <f t="shared" si="3"/>
        <v>0</v>
      </c>
      <c r="I33" s="122">
        <f t="shared" si="5"/>
        <v>0</v>
      </c>
      <c r="J33" s="122">
        <f t="shared" si="6"/>
        <v>0</v>
      </c>
      <c r="K33" s="122">
        <f t="shared" si="6"/>
        <v>0</v>
      </c>
      <c r="L33" s="123" t="s">
        <v>154</v>
      </c>
      <c r="P33" s="129">
        <f t="shared" si="2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294" t="s">
        <v>225</v>
      </c>
      <c r="F34" s="109" t="s">
        <v>297</v>
      </c>
      <c r="G34" s="134" t="s">
        <v>63</v>
      </c>
      <c r="H34" s="122">
        <f t="shared" si="3"/>
        <v>0</v>
      </c>
      <c r="I34" s="122">
        <f t="shared" si="5"/>
        <v>0</v>
      </c>
      <c r="J34" s="122">
        <f t="shared" si="6"/>
        <v>0</v>
      </c>
      <c r="K34" s="122">
        <f t="shared" si="6"/>
        <v>0</v>
      </c>
      <c r="L34" s="138" t="s">
        <v>154</v>
      </c>
      <c r="P34" s="134">
        <f t="shared" si="2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211" t="s">
        <v>225</v>
      </c>
      <c r="F35" s="110" t="s">
        <v>297</v>
      </c>
      <c r="G35" s="155" t="s">
        <v>74</v>
      </c>
      <c r="H35" s="156">
        <f t="shared" si="3"/>
        <v>0</v>
      </c>
      <c r="I35" s="156">
        <f t="shared" si="5"/>
        <v>0</v>
      </c>
      <c r="J35" s="156">
        <f t="shared" si="6"/>
        <v>0</v>
      </c>
      <c r="K35" s="156">
        <f t="shared" si="6"/>
        <v>0</v>
      </c>
      <c r="L35" s="138" t="s">
        <v>154</v>
      </c>
      <c r="P35" s="155">
        <f t="shared" si="2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294" t="s">
        <v>113</v>
      </c>
      <c r="F36" s="296"/>
      <c r="G36" s="129" t="s">
        <v>103</v>
      </c>
      <c r="H36" s="122" t="str">
        <f t="shared" si="3"/>
        <v>-</v>
      </c>
      <c r="I36" s="122" t="str">
        <f t="shared" si="5"/>
        <v>-</v>
      </c>
      <c r="J36" s="122" t="str">
        <f t="shared" si="6"/>
        <v>-</v>
      </c>
      <c r="K36" s="122" t="str">
        <f t="shared" si="6"/>
        <v>-</v>
      </c>
      <c r="L36" s="123" t="str">
        <f t="shared" si="0"/>
        <v>-</v>
      </c>
      <c r="P36" s="129">
        <f t="shared" si="2"/>
        <v>0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294" t="s">
        <v>225</v>
      </c>
      <c r="F37" s="108" t="s">
        <v>297</v>
      </c>
      <c r="G37" s="129" t="s">
        <v>103</v>
      </c>
      <c r="H37" s="122">
        <f t="shared" si="3"/>
        <v>0</v>
      </c>
      <c r="I37" s="122">
        <f t="shared" si="5"/>
        <v>0</v>
      </c>
      <c r="J37" s="122">
        <f t="shared" si="6"/>
        <v>0</v>
      </c>
      <c r="K37" s="122">
        <f t="shared" si="6"/>
        <v>0</v>
      </c>
      <c r="L37" s="123" t="s">
        <v>154</v>
      </c>
      <c r="P37" s="129">
        <f t="shared" si="2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294" t="s">
        <v>62</v>
      </c>
      <c r="F38" s="295" t="s">
        <v>626</v>
      </c>
      <c r="G38" s="129" t="s">
        <v>103</v>
      </c>
      <c r="H38" s="122">
        <f t="shared" si="3"/>
        <v>0</v>
      </c>
      <c r="I38" s="122">
        <f>2*19+4*2+6*17+8*8+10*17+12*3+14*17+16*8+18*17+20*5+22*18+24*33</f>
        <v>2378</v>
      </c>
      <c r="J38" s="122">
        <f t="shared" si="6"/>
        <v>0</v>
      </c>
      <c r="K38" s="122">
        <f t="shared" si="6"/>
        <v>0</v>
      </c>
      <c r="L38" s="123">
        <f t="shared" si="0"/>
        <v>2378</v>
      </c>
      <c r="N38" s="303"/>
      <c r="P38" s="304">
        <f t="shared" si="2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203" t="s">
        <v>225</v>
      </c>
      <c r="F39" s="109" t="s">
        <v>297</v>
      </c>
      <c r="G39" s="134" t="s">
        <v>103</v>
      </c>
      <c r="H39" s="137">
        <f t="shared" si="3"/>
        <v>0</v>
      </c>
      <c r="I39" s="137">
        <f t="shared" si="5"/>
        <v>0</v>
      </c>
      <c r="J39" s="137">
        <f t="shared" si="6"/>
        <v>0</v>
      </c>
      <c r="K39" s="137">
        <f t="shared" si="6"/>
        <v>0</v>
      </c>
      <c r="L39" s="138" t="s">
        <v>154</v>
      </c>
      <c r="P39" s="134">
        <f t="shared" si="2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203" t="s">
        <v>62</v>
      </c>
      <c r="F40" s="305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P40" s="134">
        <f t="shared" si="2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211" t="s">
        <v>62</v>
      </c>
      <c r="F41" s="110" t="s">
        <v>670</v>
      </c>
      <c r="G41" s="155" t="s">
        <v>74</v>
      </c>
      <c r="H41" s="156">
        <f t="shared" ref="H41:K41" si="7">IF($E41="ne","-",)</f>
        <v>0</v>
      </c>
      <c r="I41" s="156">
        <f t="shared" si="7"/>
        <v>0</v>
      </c>
      <c r="J41" s="156">
        <f t="shared" si="7"/>
        <v>0</v>
      </c>
      <c r="K41" s="156">
        <f t="shared" si="7"/>
        <v>0</v>
      </c>
      <c r="L41" s="138">
        <v>1</v>
      </c>
      <c r="P41" s="155">
        <f t="shared" si="2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299" t="s">
        <v>62</v>
      </c>
      <c r="F42" s="297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301"/>
      <c r="F43" s="302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4" spans="1:17" x14ac:dyDescent="0.25">
      <c r="E44" s="294"/>
      <c r="F44" s="108"/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299" t="s">
        <v>62</v>
      </c>
      <c r="F45" s="108" t="s">
        <v>671</v>
      </c>
      <c r="G45" s="146" t="s">
        <v>74</v>
      </c>
      <c r="H45" s="187">
        <v>1</v>
      </c>
      <c r="I45" s="146">
        <f>IF($E45="ne","-",)</f>
        <v>0</v>
      </c>
      <c r="J45" s="146">
        <f>IF($E45="ne","-",)</f>
        <v>0</v>
      </c>
      <c r="K45" s="146">
        <f>IF($E45="ne","-",)</f>
        <v>0</v>
      </c>
      <c r="L45" s="146">
        <f t="shared" ref="L45:L56" si="8">IF($E45="ne","-",H45+I45+J45+K45)</f>
        <v>1</v>
      </c>
      <c r="P45" s="146">
        <f t="shared" si="2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294" t="s">
        <v>62</v>
      </c>
      <c r="F46" s="297" t="s">
        <v>672</v>
      </c>
      <c r="G46" s="129" t="s">
        <v>74</v>
      </c>
      <c r="H46" s="122">
        <v>3</v>
      </c>
      <c r="I46" s="122">
        <v>1</v>
      </c>
      <c r="J46" s="122">
        <f>IF($E46="ne","-",)</f>
        <v>0</v>
      </c>
      <c r="K46" s="122">
        <f>IF($E46="ne","-",)</f>
        <v>0</v>
      </c>
      <c r="L46" s="123">
        <f t="shared" si="8"/>
        <v>4</v>
      </c>
      <c r="P46" s="129">
        <f t="shared" si="2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294" t="s">
        <v>62</v>
      </c>
      <c r="F47" s="108" t="s">
        <v>673</v>
      </c>
      <c r="G47" s="129" t="s">
        <v>74</v>
      </c>
      <c r="H47" s="122">
        <v>1</v>
      </c>
      <c r="I47" s="122">
        <v>1</v>
      </c>
      <c r="J47" s="122">
        <f t="shared" ref="J47:J57" si="9">IF($E47="ne","-",)</f>
        <v>0</v>
      </c>
      <c r="K47" s="122">
        <v>1</v>
      </c>
      <c r="L47" s="123">
        <f t="shared" si="8"/>
        <v>3</v>
      </c>
      <c r="P47" s="129">
        <f t="shared" si="2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294" t="s">
        <v>62</v>
      </c>
      <c r="F48" s="297" t="s">
        <v>674</v>
      </c>
      <c r="G48" s="129" t="s">
        <v>74</v>
      </c>
      <c r="H48" s="122">
        <v>1</v>
      </c>
      <c r="I48" s="122">
        <v>1</v>
      </c>
      <c r="J48" s="122">
        <f t="shared" si="9"/>
        <v>0</v>
      </c>
      <c r="K48" s="122">
        <f>IF($E48="ne","-",)</f>
        <v>0</v>
      </c>
      <c r="L48" s="123">
        <f t="shared" si="8"/>
        <v>2</v>
      </c>
      <c r="P48" s="129">
        <f t="shared" si="2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294" t="s">
        <v>62</v>
      </c>
      <c r="F49" s="108" t="s">
        <v>675</v>
      </c>
      <c r="G49" s="129" t="s">
        <v>74</v>
      </c>
      <c r="H49" s="122">
        <v>4</v>
      </c>
      <c r="I49" s="122">
        <v>6</v>
      </c>
      <c r="J49" s="122">
        <f t="shared" si="9"/>
        <v>0</v>
      </c>
      <c r="K49" s="122">
        <f>IF($E49="ne","-",)</f>
        <v>0</v>
      </c>
      <c r="L49" s="123">
        <f t="shared" si="8"/>
        <v>10</v>
      </c>
      <c r="P49" s="129">
        <f t="shared" si="2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294" t="s">
        <v>62</v>
      </c>
      <c r="F50" s="108" t="s">
        <v>676</v>
      </c>
      <c r="G50" s="129" t="s">
        <v>74</v>
      </c>
      <c r="H50" s="122">
        <v>6</v>
      </c>
      <c r="I50" s="122">
        <v>4</v>
      </c>
      <c r="J50" s="122">
        <f t="shared" si="9"/>
        <v>0</v>
      </c>
      <c r="K50" s="122">
        <f>IF($E50="ne","-",)</f>
        <v>0</v>
      </c>
      <c r="L50" s="123">
        <f t="shared" si="8"/>
        <v>10</v>
      </c>
      <c r="P50" s="129">
        <f t="shared" si="2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294" t="s">
        <v>62</v>
      </c>
      <c r="F51" s="306" t="s">
        <v>677</v>
      </c>
      <c r="G51" s="129" t="s">
        <v>74</v>
      </c>
      <c r="H51" s="122">
        <v>1</v>
      </c>
      <c r="I51" s="122">
        <v>1</v>
      </c>
      <c r="J51" s="122">
        <f t="shared" si="9"/>
        <v>0</v>
      </c>
      <c r="K51" s="122">
        <v>1</v>
      </c>
      <c r="L51" s="123">
        <f t="shared" si="8"/>
        <v>3</v>
      </c>
      <c r="P51" s="129">
        <f t="shared" si="2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299" t="s">
        <v>62</v>
      </c>
      <c r="F52" s="108" t="s">
        <v>678</v>
      </c>
      <c r="G52" s="146" t="s">
        <v>63</v>
      </c>
      <c r="H52" s="146">
        <v>1</v>
      </c>
      <c r="I52" s="146">
        <v>1</v>
      </c>
      <c r="J52" s="146">
        <f t="shared" si="9"/>
        <v>0</v>
      </c>
      <c r="K52" s="146">
        <f>IF($E52="ne","-",)</f>
        <v>0</v>
      </c>
      <c r="L52" s="146">
        <f t="shared" si="8"/>
        <v>2</v>
      </c>
      <c r="P52" s="146">
        <f t="shared" si="2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294" t="s">
        <v>62</v>
      </c>
      <c r="F53" s="297" t="s">
        <v>441</v>
      </c>
      <c r="G53" s="129" t="s">
        <v>74</v>
      </c>
      <c r="H53" s="122">
        <v>1</v>
      </c>
      <c r="I53" s="122">
        <v>1</v>
      </c>
      <c r="J53" s="122">
        <f t="shared" si="9"/>
        <v>0</v>
      </c>
      <c r="K53" s="122">
        <f>IF($E53="ne","-",)</f>
        <v>0</v>
      </c>
      <c r="L53" s="123">
        <f t="shared" si="8"/>
        <v>2</v>
      </c>
      <c r="P53" s="129">
        <f t="shared" si="2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203" t="s">
        <v>62</v>
      </c>
      <c r="F54" s="306" t="s">
        <v>441</v>
      </c>
      <c r="G54" s="134" t="s">
        <v>74</v>
      </c>
      <c r="H54" s="137">
        <v>1</v>
      </c>
      <c r="I54" s="137">
        <v>1</v>
      </c>
      <c r="J54" s="137">
        <f t="shared" si="9"/>
        <v>0</v>
      </c>
      <c r="K54" s="137">
        <f>IF($E54="ne","-",)</f>
        <v>0</v>
      </c>
      <c r="L54" s="138">
        <f t="shared" si="8"/>
        <v>2</v>
      </c>
      <c r="P54" s="134">
        <f t="shared" si="2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294" t="s">
        <v>62</v>
      </c>
      <c r="F55" s="108" t="s">
        <v>679</v>
      </c>
      <c r="G55" s="129" t="s">
        <v>63</v>
      </c>
      <c r="H55" s="122">
        <f>IF($E55="ne","-",)</f>
        <v>0</v>
      </c>
      <c r="I55" s="122">
        <f>IF($E55="ne","-",)</f>
        <v>0</v>
      </c>
      <c r="J55" s="122">
        <f t="shared" si="9"/>
        <v>0</v>
      </c>
      <c r="K55" s="122">
        <v>2</v>
      </c>
      <c r="L55" s="123">
        <f t="shared" si="8"/>
        <v>2</v>
      </c>
      <c r="P55" s="129">
        <f t="shared" si="2"/>
        <v>0</v>
      </c>
      <c r="Q55" s="129" t="s">
        <v>298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294" t="s">
        <v>62</v>
      </c>
      <c r="F56" s="108" t="s">
        <v>680</v>
      </c>
      <c r="G56" s="129" t="s">
        <v>63</v>
      </c>
      <c r="H56" s="122">
        <v>6</v>
      </c>
      <c r="I56" s="122">
        <v>5</v>
      </c>
      <c r="J56" s="122">
        <f t="shared" si="9"/>
        <v>0</v>
      </c>
      <c r="K56" s="122">
        <v>5</v>
      </c>
      <c r="L56" s="123">
        <f t="shared" si="8"/>
        <v>16</v>
      </c>
      <c r="M56" s="307"/>
      <c r="P56" s="129">
        <f t="shared" si="2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203" t="s">
        <v>62</v>
      </c>
      <c r="F57" s="306" t="s">
        <v>681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 t="shared" si="9"/>
        <v>0</v>
      </c>
      <c r="K57" s="137">
        <f>IF($E57="ne","-",)</f>
        <v>0</v>
      </c>
      <c r="L57" s="138">
        <v>1</v>
      </c>
      <c r="P57" s="134">
        <f t="shared" si="2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294" t="s">
        <v>62</v>
      </c>
      <c r="F58" s="297" t="s">
        <v>682</v>
      </c>
      <c r="G58" s="129" t="s">
        <v>63</v>
      </c>
      <c r="H58" s="122">
        <v>6</v>
      </c>
      <c r="I58" s="122">
        <v>4</v>
      </c>
      <c r="J58" s="122">
        <v>3</v>
      </c>
      <c r="K58" s="122">
        <v>2</v>
      </c>
      <c r="L58" s="123">
        <f>IF($E58="ne","-",H58+I58+J58+K58)</f>
        <v>15</v>
      </c>
      <c r="P58" s="129">
        <f t="shared" si="2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203" t="s">
        <v>62</v>
      </c>
      <c r="F59" s="306" t="s">
        <v>683</v>
      </c>
      <c r="G59" s="134" t="s">
        <v>63</v>
      </c>
      <c r="H59" s="137">
        <v>2</v>
      </c>
      <c r="I59" s="137">
        <v>2</v>
      </c>
      <c r="J59" s="137">
        <f t="shared" ref="J59:K65" si="10">IF($E59="ne","-",)</f>
        <v>0</v>
      </c>
      <c r="K59" s="137">
        <f t="shared" si="10"/>
        <v>0</v>
      </c>
      <c r="L59" s="138">
        <f>IF($E59="ne","-",H59+I59+J59+K59)</f>
        <v>4</v>
      </c>
      <c r="M59" s="129"/>
      <c r="P59" s="129">
        <f t="shared" si="2"/>
        <v>0</v>
      </c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299" t="s">
        <v>62</v>
      </c>
      <c r="F60" s="223" t="s">
        <v>684</v>
      </c>
      <c r="G60" s="146" t="s">
        <v>74</v>
      </c>
      <c r="H60" s="187">
        <v>2</v>
      </c>
      <c r="I60" s="187">
        <v>2</v>
      </c>
      <c r="J60" s="187">
        <f t="shared" si="10"/>
        <v>0</v>
      </c>
      <c r="K60" s="187">
        <f t="shared" si="10"/>
        <v>0</v>
      </c>
      <c r="L60" s="184">
        <f>IF($E60="ne","-",H60+I60+J60+K60)</f>
        <v>4</v>
      </c>
      <c r="M60" s="146"/>
      <c r="N60" s="146"/>
      <c r="O60" s="146"/>
      <c r="P60" s="146">
        <f t="shared" si="2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294" t="s">
        <v>62</v>
      </c>
      <c r="F61" s="108" t="s">
        <v>685</v>
      </c>
      <c r="G61" s="129" t="s">
        <v>74</v>
      </c>
      <c r="H61" s="122">
        <v>1</v>
      </c>
      <c r="I61" s="122">
        <v>1</v>
      </c>
      <c r="J61" s="122">
        <f t="shared" si="10"/>
        <v>0</v>
      </c>
      <c r="K61" s="122">
        <f t="shared" si="10"/>
        <v>0</v>
      </c>
      <c r="L61" s="123">
        <f>IF($E61="ne","-",H61+I61+J61+K61)</f>
        <v>2</v>
      </c>
      <c r="P61" s="129">
        <f t="shared" si="2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294" t="s">
        <v>62</v>
      </c>
      <c r="F62" s="297" t="s">
        <v>685</v>
      </c>
      <c r="G62" s="129" t="s">
        <v>74</v>
      </c>
      <c r="H62" s="122">
        <v>1</v>
      </c>
      <c r="I62" s="122">
        <v>1</v>
      </c>
      <c r="J62" s="122">
        <f t="shared" si="10"/>
        <v>0</v>
      </c>
      <c r="K62" s="122">
        <f t="shared" si="10"/>
        <v>0</v>
      </c>
      <c r="L62" s="123">
        <f>IF($E62="ne","-",H62+I62+J62+K62)</f>
        <v>2</v>
      </c>
      <c r="P62" s="129">
        <f t="shared" si="2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294" t="s">
        <v>62</v>
      </c>
      <c r="F63" s="297" t="s">
        <v>686</v>
      </c>
      <c r="G63" s="129" t="s">
        <v>74</v>
      </c>
      <c r="H63" s="122">
        <f>IF($E63="ne","-",)</f>
        <v>0</v>
      </c>
      <c r="I63" s="122">
        <f>IF($E63="ne","-",)</f>
        <v>0</v>
      </c>
      <c r="J63" s="122">
        <f t="shared" si="10"/>
        <v>0</v>
      </c>
      <c r="K63" s="122">
        <f t="shared" si="10"/>
        <v>0</v>
      </c>
      <c r="L63" s="123">
        <v>1</v>
      </c>
      <c r="P63" s="129">
        <f t="shared" si="2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294" t="s">
        <v>62</v>
      </c>
      <c r="F64" s="297" t="s">
        <v>687</v>
      </c>
      <c r="G64" s="129" t="s">
        <v>74</v>
      </c>
      <c r="H64" s="122">
        <v>1</v>
      </c>
      <c r="I64" s="122">
        <v>1</v>
      </c>
      <c r="J64" s="122">
        <f t="shared" si="10"/>
        <v>0</v>
      </c>
      <c r="K64" s="122">
        <f t="shared" si="10"/>
        <v>0</v>
      </c>
      <c r="L64" s="123">
        <f>IF($E64="ne","-",H64+I64+J64+K64)</f>
        <v>2</v>
      </c>
      <c r="P64" s="129">
        <f t="shared" si="2"/>
        <v>0</v>
      </c>
    </row>
    <row r="65" spans="1:17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294" t="s">
        <v>62</v>
      </c>
      <c r="F65" s="108" t="s">
        <v>688</v>
      </c>
      <c r="G65" s="129" t="s">
        <v>74</v>
      </c>
      <c r="H65" s="122">
        <v>0</v>
      </c>
      <c r="I65" s="122">
        <v>1</v>
      </c>
      <c r="J65" s="122">
        <f t="shared" si="10"/>
        <v>0</v>
      </c>
      <c r="K65" s="122">
        <f t="shared" si="10"/>
        <v>0</v>
      </c>
      <c r="L65" s="123">
        <f>IF($E65="ne","-",H65+I65+J65+K65)</f>
        <v>1</v>
      </c>
      <c r="P65" s="129">
        <f t="shared" si="2"/>
        <v>0</v>
      </c>
    </row>
    <row r="66" spans="1:17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294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>
        <v>1</v>
      </c>
      <c r="K66" s="122" t="s">
        <v>154</v>
      </c>
      <c r="L66" s="123">
        <v>1</v>
      </c>
      <c r="P66" s="129">
        <f t="shared" si="2"/>
        <v>0</v>
      </c>
    </row>
    <row r="67" spans="1:17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294" t="s">
        <v>62</v>
      </c>
      <c r="F67" s="108" t="s">
        <v>689</v>
      </c>
      <c r="G67" s="129" t="s">
        <v>74</v>
      </c>
      <c r="H67" s="122">
        <f>IF($E67="ne","-",)</f>
        <v>0</v>
      </c>
      <c r="I67" s="122">
        <f>IF($E67="ne","-",)</f>
        <v>0</v>
      </c>
      <c r="J67" s="122">
        <v>2</v>
      </c>
      <c r="K67" s="122">
        <f>IF($E67="ne","-",)</f>
        <v>0</v>
      </c>
      <c r="L67" s="123">
        <f>IF($E67="ne","-",H67+I67+J67+K67)</f>
        <v>2</v>
      </c>
      <c r="P67" s="129">
        <f t="shared" si="2"/>
        <v>0</v>
      </c>
    </row>
    <row r="68" spans="1:17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294" t="s">
        <v>62</v>
      </c>
      <c r="F68" s="108" t="s">
        <v>690</v>
      </c>
      <c r="G68" s="129" t="s">
        <v>74</v>
      </c>
      <c r="H68" s="122">
        <v>0</v>
      </c>
      <c r="I68" s="122">
        <v>0</v>
      </c>
      <c r="J68" s="122">
        <v>4</v>
      </c>
      <c r="K68" s="129">
        <v>0</v>
      </c>
      <c r="L68" s="123">
        <f>IF($E68="ne","-",H68+I68+J68+K68)</f>
        <v>4</v>
      </c>
      <c r="P68" s="129">
        <f t="shared" si="2"/>
        <v>0</v>
      </c>
    </row>
    <row r="69" spans="1:17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294" t="s">
        <v>62</v>
      </c>
      <c r="F69" s="297" t="s">
        <v>691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2"/>
        <v>0</v>
      </c>
    </row>
    <row r="70" spans="1:17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2"/>
        <v>0</v>
      </c>
    </row>
    <row r="71" spans="1:17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294" t="s">
        <v>62</v>
      </c>
      <c r="F71" s="108" t="s">
        <v>649</v>
      </c>
      <c r="G71" s="129" t="s">
        <v>74</v>
      </c>
      <c r="H71" s="122">
        <v>1</v>
      </c>
      <c r="I71" s="122">
        <f>IF($E71="ne","-",)</f>
        <v>0</v>
      </c>
      <c r="J71" s="122">
        <f>IF($E71="ne","-",)</f>
        <v>0</v>
      </c>
      <c r="K71" s="122">
        <f>IF($E71="ne","-",)</f>
        <v>0</v>
      </c>
      <c r="L71" s="123">
        <f t="shared" ref="L71:L83" si="11">IF($E71="ne","-",H71+I71+J71+K71)</f>
        <v>1</v>
      </c>
      <c r="P71" s="129">
        <f t="shared" si="2"/>
        <v>0</v>
      </c>
    </row>
    <row r="72" spans="1:17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294" t="s">
        <v>62</v>
      </c>
      <c r="F72" s="108" t="s">
        <v>692</v>
      </c>
      <c r="G72" s="129" t="s">
        <v>74</v>
      </c>
      <c r="H72" s="122">
        <f>IF($E72="ne","-",)</f>
        <v>0</v>
      </c>
      <c r="I72" s="122">
        <v>0</v>
      </c>
      <c r="J72" s="122">
        <f t="shared" ref="J72:K86" si="12">IF($E72="ne","-",)</f>
        <v>0</v>
      </c>
      <c r="K72" s="122">
        <f t="shared" si="12"/>
        <v>0</v>
      </c>
      <c r="L72" s="123">
        <v>1</v>
      </c>
      <c r="M72" s="108"/>
      <c r="N72" s="108"/>
      <c r="O72" s="108"/>
      <c r="P72" s="108">
        <f t="shared" si="2"/>
        <v>0</v>
      </c>
    </row>
    <row r="73" spans="1:17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294" t="s">
        <v>62</v>
      </c>
      <c r="F73" s="108" t="s">
        <v>693</v>
      </c>
      <c r="G73" s="129" t="s">
        <v>74</v>
      </c>
      <c r="H73" s="122">
        <f>IF($E73="ne","-",)</f>
        <v>0</v>
      </c>
      <c r="I73" s="122">
        <v>0</v>
      </c>
      <c r="J73" s="122">
        <f t="shared" si="12"/>
        <v>0</v>
      </c>
      <c r="K73" s="122">
        <f t="shared" si="12"/>
        <v>0</v>
      </c>
      <c r="L73" s="123">
        <v>1</v>
      </c>
      <c r="M73" s="108"/>
      <c r="N73" s="108"/>
      <c r="O73" s="108"/>
      <c r="P73" s="108">
        <f t="shared" si="2"/>
        <v>0</v>
      </c>
    </row>
    <row r="74" spans="1:17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203" t="s">
        <v>62</v>
      </c>
      <c r="F74" s="109" t="s">
        <v>694</v>
      </c>
      <c r="G74" s="134" t="s">
        <v>74</v>
      </c>
      <c r="H74" s="137">
        <v>1</v>
      </c>
      <c r="I74" s="137">
        <v>1</v>
      </c>
      <c r="J74" s="137">
        <f t="shared" si="12"/>
        <v>0</v>
      </c>
      <c r="K74" s="137">
        <f t="shared" si="12"/>
        <v>0</v>
      </c>
      <c r="L74" s="138">
        <f t="shared" si="11"/>
        <v>2</v>
      </c>
      <c r="P74" s="134">
        <f t="shared" si="2"/>
        <v>0</v>
      </c>
      <c r="Q74" s="134" t="s">
        <v>299</v>
      </c>
    </row>
    <row r="75" spans="1:17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294" t="s">
        <v>62</v>
      </c>
      <c r="F75" s="297" t="s">
        <v>695</v>
      </c>
      <c r="G75" s="129" t="s">
        <v>74</v>
      </c>
      <c r="H75" s="122">
        <v>1</v>
      </c>
      <c r="I75" s="122">
        <v>1</v>
      </c>
      <c r="J75" s="122">
        <f t="shared" si="12"/>
        <v>0</v>
      </c>
      <c r="K75" s="122">
        <f t="shared" si="12"/>
        <v>0</v>
      </c>
      <c r="L75" s="123">
        <f t="shared" si="11"/>
        <v>2</v>
      </c>
      <c r="P75" s="129">
        <f t="shared" si="2"/>
        <v>0</v>
      </c>
    </row>
    <row r="76" spans="1:17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294" t="s">
        <v>62</v>
      </c>
      <c r="F76" s="297" t="s">
        <v>696</v>
      </c>
      <c r="G76" s="129" t="s">
        <v>74</v>
      </c>
      <c r="H76" s="122">
        <v>1</v>
      </c>
      <c r="I76" s="122">
        <v>1</v>
      </c>
      <c r="J76" s="122">
        <f t="shared" si="12"/>
        <v>0</v>
      </c>
      <c r="K76" s="122">
        <f t="shared" si="12"/>
        <v>0</v>
      </c>
      <c r="L76" s="123">
        <f t="shared" si="11"/>
        <v>2</v>
      </c>
      <c r="P76" s="129">
        <f t="shared" si="2"/>
        <v>0</v>
      </c>
    </row>
    <row r="77" spans="1:17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203" t="s">
        <v>62</v>
      </c>
      <c r="F77" s="306" t="s">
        <v>460</v>
      </c>
      <c r="G77" s="134" t="s">
        <v>74</v>
      </c>
      <c r="H77" s="137">
        <v>1</v>
      </c>
      <c r="I77" s="137">
        <f>IF($E77="ne","-",)</f>
        <v>0</v>
      </c>
      <c r="J77" s="137">
        <f t="shared" si="12"/>
        <v>0</v>
      </c>
      <c r="K77" s="137">
        <f t="shared" si="12"/>
        <v>0</v>
      </c>
      <c r="L77" s="138">
        <f t="shared" si="11"/>
        <v>1</v>
      </c>
      <c r="M77" s="109"/>
      <c r="N77" s="109"/>
      <c r="O77" s="109"/>
      <c r="P77" s="109">
        <f t="shared" si="2"/>
        <v>0</v>
      </c>
    </row>
    <row r="78" spans="1:17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294" t="s">
        <v>62</v>
      </c>
      <c r="F78" s="297" t="s">
        <v>697</v>
      </c>
      <c r="G78" s="129" t="s">
        <v>74</v>
      </c>
      <c r="H78" s="122">
        <v>1</v>
      </c>
      <c r="I78" s="122">
        <v>1</v>
      </c>
      <c r="J78" s="122">
        <f t="shared" si="12"/>
        <v>0</v>
      </c>
      <c r="K78" s="122">
        <f t="shared" si="12"/>
        <v>0</v>
      </c>
      <c r="L78" s="123">
        <f t="shared" si="11"/>
        <v>2</v>
      </c>
      <c r="P78" s="129">
        <f t="shared" ref="P78:P87" si="13">IFERROR(N78+O78,"-")</f>
        <v>0</v>
      </c>
    </row>
    <row r="79" spans="1:17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294" t="s">
        <v>62</v>
      </c>
      <c r="F79" s="297" t="s">
        <v>698</v>
      </c>
      <c r="G79" s="129" t="s">
        <v>74</v>
      </c>
      <c r="H79" s="122">
        <v>1</v>
      </c>
      <c r="I79" s="122">
        <v>1</v>
      </c>
      <c r="J79" s="122">
        <f t="shared" si="12"/>
        <v>0</v>
      </c>
      <c r="K79" s="122">
        <f t="shared" si="12"/>
        <v>0</v>
      </c>
      <c r="L79" s="123">
        <f t="shared" si="11"/>
        <v>2</v>
      </c>
      <c r="P79" s="129">
        <f t="shared" si="13"/>
        <v>0</v>
      </c>
    </row>
    <row r="80" spans="1:17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203" t="s">
        <v>62</v>
      </c>
      <c r="F80" s="306" t="s">
        <v>699</v>
      </c>
      <c r="G80" s="134" t="s">
        <v>74</v>
      </c>
      <c r="H80" s="137">
        <v>1</v>
      </c>
      <c r="I80" s="137">
        <v>1</v>
      </c>
      <c r="J80" s="137">
        <f t="shared" si="12"/>
        <v>0</v>
      </c>
      <c r="K80" s="137">
        <f t="shared" si="12"/>
        <v>0</v>
      </c>
      <c r="L80" s="138">
        <f t="shared" si="11"/>
        <v>2</v>
      </c>
      <c r="P80" s="134">
        <f t="shared" si="13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294" t="s">
        <v>62</v>
      </c>
      <c r="F81" s="108" t="s">
        <v>700</v>
      </c>
      <c r="G81" s="129" t="s">
        <v>74</v>
      </c>
      <c r="H81" s="122">
        <v>1</v>
      </c>
      <c r="I81" s="122">
        <v>1</v>
      </c>
      <c r="J81" s="122">
        <f t="shared" si="12"/>
        <v>0</v>
      </c>
      <c r="K81" s="122">
        <f t="shared" si="12"/>
        <v>0</v>
      </c>
      <c r="L81" s="123">
        <f t="shared" si="11"/>
        <v>2</v>
      </c>
      <c r="P81" s="129">
        <f t="shared" si="13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294" t="s">
        <v>62</v>
      </c>
      <c r="F82" s="297" t="s">
        <v>556</v>
      </c>
      <c r="G82" s="129" t="s">
        <v>74</v>
      </c>
      <c r="H82" s="122">
        <f>IF($E82="ne","-",)</f>
        <v>0</v>
      </c>
      <c r="I82" s="122">
        <v>1</v>
      </c>
      <c r="J82" s="122">
        <f t="shared" si="12"/>
        <v>0</v>
      </c>
      <c r="K82" s="122">
        <f t="shared" si="12"/>
        <v>0</v>
      </c>
      <c r="L82" s="123">
        <f t="shared" si="11"/>
        <v>1</v>
      </c>
      <c r="P82" s="129">
        <f t="shared" si="13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203" t="s">
        <v>62</v>
      </c>
      <c r="F83" s="306" t="s">
        <v>699</v>
      </c>
      <c r="G83" s="134" t="s">
        <v>74</v>
      </c>
      <c r="H83" s="137">
        <v>1</v>
      </c>
      <c r="I83" s="137">
        <v>1</v>
      </c>
      <c r="J83" s="137">
        <f t="shared" si="12"/>
        <v>0</v>
      </c>
      <c r="K83" s="137">
        <f t="shared" si="12"/>
        <v>0</v>
      </c>
      <c r="L83" s="138">
        <f t="shared" si="11"/>
        <v>2</v>
      </c>
      <c r="P83" s="134">
        <f t="shared" si="13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203" t="s">
        <v>62</v>
      </c>
      <c r="F84" s="306" t="s">
        <v>701</v>
      </c>
      <c r="G84" s="134" t="s">
        <v>74</v>
      </c>
      <c r="H84" s="137">
        <f t="shared" ref="H84:I86" si="14">IF($E84="ne","-",)</f>
        <v>0</v>
      </c>
      <c r="I84" s="137">
        <f t="shared" si="14"/>
        <v>0</v>
      </c>
      <c r="J84" s="137">
        <f t="shared" si="12"/>
        <v>0</v>
      </c>
      <c r="K84" s="137">
        <f t="shared" si="12"/>
        <v>0</v>
      </c>
      <c r="L84" s="138">
        <v>1</v>
      </c>
      <c r="M84" s="308"/>
      <c r="N84" s="308"/>
      <c r="O84" s="308"/>
      <c r="P84" s="308">
        <f t="shared" si="13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211" t="s">
        <v>62</v>
      </c>
      <c r="F85" s="110" t="s">
        <v>481</v>
      </c>
      <c r="G85" s="155" t="s">
        <v>74</v>
      </c>
      <c r="H85" s="156">
        <f t="shared" si="14"/>
        <v>0</v>
      </c>
      <c r="I85" s="156">
        <f t="shared" si="14"/>
        <v>0</v>
      </c>
      <c r="J85" s="156">
        <f t="shared" si="12"/>
        <v>0</v>
      </c>
      <c r="K85" s="156">
        <f t="shared" si="12"/>
        <v>0</v>
      </c>
      <c r="L85" s="138">
        <v>1</v>
      </c>
      <c r="P85" s="155">
        <f t="shared" si="13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211" t="s">
        <v>62</v>
      </c>
      <c r="F86" s="107" t="s">
        <v>702</v>
      </c>
      <c r="G86" s="155" t="s">
        <v>74</v>
      </c>
      <c r="H86" s="155">
        <f t="shared" si="14"/>
        <v>0</v>
      </c>
      <c r="I86" s="155">
        <f t="shared" si="14"/>
        <v>0</v>
      </c>
      <c r="J86" s="155">
        <f t="shared" si="12"/>
        <v>0</v>
      </c>
      <c r="K86" s="155">
        <f t="shared" si="12"/>
        <v>0</v>
      </c>
      <c r="L86" s="160">
        <v>1</v>
      </c>
      <c r="M86" s="155"/>
      <c r="N86" s="155"/>
      <c r="O86" s="155"/>
      <c r="P86" s="155">
        <f t="shared" si="13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3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294" t="s">
        <v>62</v>
      </c>
      <c r="F88" s="297" t="s">
        <v>280</v>
      </c>
      <c r="G88" s="129"/>
      <c r="H88" s="129"/>
      <c r="I88" s="129"/>
      <c r="J88" s="129"/>
      <c r="K88" s="129"/>
      <c r="L88" s="123">
        <v>1</v>
      </c>
      <c r="M88" s="343">
        <f>'SOUHRN A KONSTANTY'!$P$7</f>
        <v>0</v>
      </c>
      <c r="N88" s="129"/>
      <c r="O88" s="129"/>
      <c r="P88" s="129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301"/>
      <c r="F89" s="302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291"/>
      <c r="F90" s="292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211" t="s">
        <v>62</v>
      </c>
      <c r="F91" s="110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211" t="s">
        <v>62</v>
      </c>
      <c r="F92" s="107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211" t="s">
        <v>62</v>
      </c>
      <c r="F93" s="110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299" t="s">
        <v>62</v>
      </c>
      <c r="F94" s="344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299" t="s">
        <v>62</v>
      </c>
      <c r="F95" s="344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16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/>
    <row r="98" spans="1:16" ht="15" thickBot="1" x14ac:dyDescent="0.3">
      <c r="A98" s="364" t="s">
        <v>10</v>
      </c>
      <c r="B98" s="365"/>
      <c r="C98" s="365"/>
      <c r="D98" s="365"/>
      <c r="E98" s="365"/>
      <c r="F98" s="365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/>
    <row r="100" spans="1:16" ht="15" thickBot="1" x14ac:dyDescent="0.3">
      <c r="A100" s="226"/>
      <c r="B100" s="227"/>
      <c r="C100" s="217" t="s">
        <v>866</v>
      </c>
      <c r="D100" s="217"/>
      <c r="E100" s="228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/>
    <row r="102" spans="1:16" ht="15" thickBot="1" x14ac:dyDescent="0.3">
      <c r="A102" s="364" t="s">
        <v>92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5" spans="1:16" x14ac:dyDescent="0.25">
      <c r="B105" s="126"/>
    </row>
  </sheetData>
  <autoFilter ref="B2:Q2" xr:uid="{B02B0A38-8D86-4EC5-97E5-74611AC52359}"/>
  <mergeCells count="3">
    <mergeCell ref="H1:L1"/>
    <mergeCell ref="A98:O98"/>
    <mergeCell ref="A102:O102"/>
  </mergeCells>
  <conditionalFormatting sqref="E6:E8 E10:E23 E26:E27">
    <cfRule type="cellIs" dxfId="256" priority="88" operator="equal">
      <formula>"ne"</formula>
    </cfRule>
  </conditionalFormatting>
  <conditionalFormatting sqref="E29 E31 E36 E38 E40:E43">
    <cfRule type="cellIs" dxfId="255" priority="63" operator="equal">
      <formula>"ne"</formula>
    </cfRule>
  </conditionalFormatting>
  <conditionalFormatting sqref="E45:E67">
    <cfRule type="cellIs" dxfId="254" priority="106" operator="equal">
      <formula>"ne"</formula>
    </cfRule>
  </conditionalFormatting>
  <conditionalFormatting sqref="E69 E71:E76 E78:E91">
    <cfRule type="cellIs" dxfId="253" priority="44" operator="equal">
      <formula>"ne"</formula>
    </cfRule>
  </conditionalFormatting>
  <conditionalFormatting sqref="E96">
    <cfRule type="cellIs" dxfId="252" priority="47" operator="equal">
      <formula>"ne"</formula>
    </cfRule>
  </conditionalFormatting>
  <conditionalFormatting sqref="H68:I68">
    <cfRule type="cellIs" dxfId="251" priority="36" operator="between">
      <formula>0.0001</formula>
      <formula>1000</formula>
    </cfRule>
  </conditionalFormatting>
  <conditionalFormatting sqref="H68:J68 H4:K23 H26:K27">
    <cfRule type="cellIs" dxfId="250" priority="32" operator="equal">
      <formula>"-"</formula>
    </cfRule>
  </conditionalFormatting>
  <conditionalFormatting sqref="H29:K41 H4:K23">
    <cfRule type="cellIs" dxfId="249" priority="85" operator="between">
      <formula>0.0001</formula>
      <formula>10000</formula>
    </cfRule>
  </conditionalFormatting>
  <conditionalFormatting sqref="H26:K27">
    <cfRule type="cellIs" dxfId="248" priority="67" operator="between">
      <formula>0.0001</formula>
      <formula>1000</formula>
    </cfRule>
  </conditionalFormatting>
  <conditionalFormatting sqref="H29:K43">
    <cfRule type="cellIs" dxfId="247" priority="61" operator="equal">
      <formula>"-"</formula>
    </cfRule>
  </conditionalFormatting>
  <conditionalFormatting sqref="H42:K43">
    <cfRule type="cellIs" dxfId="246" priority="60" operator="between">
      <formula>0.0001</formula>
      <formula>1000</formula>
    </cfRule>
  </conditionalFormatting>
  <conditionalFormatting sqref="H46:K51 H53:K67">
    <cfRule type="cellIs" dxfId="245" priority="33" operator="between">
      <formula>0.0001</formula>
      <formula>10000</formula>
    </cfRule>
    <cfRule type="cellIs" dxfId="244" priority="34" operator="equal">
      <formula>"-"</formula>
    </cfRule>
  </conditionalFormatting>
  <conditionalFormatting sqref="H69:K69 H71:K90">
    <cfRule type="cellIs" dxfId="243" priority="38" operator="between">
      <formula>0.0001</formula>
      <formula>1000</formula>
    </cfRule>
    <cfRule type="cellIs" dxfId="242" priority="39" operator="equal">
      <formula>"-"</formula>
    </cfRule>
  </conditionalFormatting>
  <conditionalFormatting sqref="H96:K96">
    <cfRule type="cellIs" dxfId="241" priority="45" operator="between">
      <formula>0.0001</formula>
      <formula>1000</formula>
    </cfRule>
    <cfRule type="cellIs" dxfId="240" priority="46" operator="equal">
      <formula>"-"</formula>
    </cfRule>
  </conditionalFormatting>
  <conditionalFormatting sqref="I3:K3">
    <cfRule type="cellIs" dxfId="239" priority="80" operator="between">
      <formula>0.0001</formula>
      <formula>10000</formula>
    </cfRule>
    <cfRule type="cellIs" dxfId="238" priority="81" operator="equal">
      <formula>"-"</formula>
    </cfRule>
  </conditionalFormatting>
  <conditionalFormatting sqref="J68">
    <cfRule type="cellIs" dxfId="237" priority="31" operator="between">
      <formula>0.0001</formula>
      <formula>10000</formula>
    </cfRule>
  </conditionalFormatting>
  <conditionalFormatting sqref="L15:L22 L3:L13">
    <cfRule type="cellIs" dxfId="236" priority="87" operator="equal">
      <formula>0</formula>
    </cfRule>
  </conditionalFormatting>
  <conditionalFormatting sqref="L26">
    <cfRule type="cellIs" dxfId="235" priority="69" operator="equal">
      <formula>0</formula>
    </cfRule>
  </conditionalFormatting>
  <conditionalFormatting sqref="L29:L39 L42">
    <cfRule type="cellIs" dxfId="234" priority="62" operator="equal">
      <formula>0</formula>
    </cfRule>
  </conditionalFormatting>
  <conditionalFormatting sqref="L46:L51 L53:L69 L71:L88">
    <cfRule type="cellIs" dxfId="233" priority="35" operator="equal">
      <formula>0</formula>
    </cfRule>
  </conditionalFormatting>
  <conditionalFormatting sqref="H45">
    <cfRule type="cellIs" dxfId="232" priority="28" operator="between">
      <formula>0.0001</formula>
      <formula>10000</formula>
    </cfRule>
    <cfRule type="cellIs" dxfId="231" priority="29" operator="equal">
      <formula>"-"</formula>
    </cfRule>
  </conditionalFormatting>
  <conditionalFormatting sqref="E70">
    <cfRule type="cellIs" dxfId="230" priority="27" operator="equal">
      <formula>"ne"</formula>
    </cfRule>
  </conditionalFormatting>
  <conditionalFormatting sqref="H70:K70">
    <cfRule type="cellIs" dxfId="229" priority="25" operator="between">
      <formula>0.0001</formula>
      <formula>1000</formula>
    </cfRule>
    <cfRule type="cellIs" dxfId="228" priority="26" operator="equal">
      <formula>"-"</formula>
    </cfRule>
  </conditionalFormatting>
  <conditionalFormatting sqref="L70">
    <cfRule type="cellIs" dxfId="227" priority="24" operator="equal">
      <formula>0</formula>
    </cfRule>
  </conditionalFormatting>
  <conditionalFormatting sqref="E25">
    <cfRule type="cellIs" dxfId="226" priority="16" operator="equal">
      <formula>"ne"</formula>
    </cfRule>
  </conditionalFormatting>
  <conditionalFormatting sqref="H25:K25">
    <cfRule type="cellIs" dxfId="225" priority="15" operator="equal">
      <formula>"-"</formula>
    </cfRule>
  </conditionalFormatting>
  <conditionalFormatting sqref="H25:K25">
    <cfRule type="cellIs" dxfId="224" priority="17" operator="between">
      <formula>0.0001</formula>
      <formula>1000</formula>
    </cfRule>
  </conditionalFormatting>
  <conditionalFormatting sqref="E30">
    <cfRule type="cellIs" dxfId="223" priority="14" operator="equal">
      <formula>"ne"</formula>
    </cfRule>
  </conditionalFormatting>
  <conditionalFormatting sqref="E32:E35">
    <cfRule type="cellIs" dxfId="222" priority="13" operator="equal">
      <formula>"ne"</formula>
    </cfRule>
  </conditionalFormatting>
  <conditionalFormatting sqref="E37">
    <cfRule type="cellIs" dxfId="221" priority="12" operator="equal">
      <formula>"ne"</formula>
    </cfRule>
  </conditionalFormatting>
  <conditionalFormatting sqref="E39">
    <cfRule type="cellIs" dxfId="220" priority="11" operator="equal">
      <formula>"ne"</formula>
    </cfRule>
  </conditionalFormatting>
  <conditionalFormatting sqref="E77">
    <cfRule type="cellIs" dxfId="219" priority="10" operator="equal">
      <formula>"ne"</formula>
    </cfRule>
  </conditionalFormatting>
  <conditionalFormatting sqref="H3">
    <cfRule type="cellIs" dxfId="218" priority="8" operator="between">
      <formula>0.0001</formula>
      <formula>10000</formula>
    </cfRule>
    <cfRule type="cellIs" dxfId="217" priority="9" operator="equal">
      <formula>"-"</formula>
    </cfRule>
  </conditionalFormatting>
  <conditionalFormatting sqref="E24:E25">
    <cfRule type="cellIs" dxfId="216" priority="7" operator="equal">
      <formula>"ne"</formula>
    </cfRule>
  </conditionalFormatting>
  <conditionalFormatting sqref="H24:K25">
    <cfRule type="cellIs" dxfId="215" priority="5" operator="between">
      <formula>0.0001</formula>
      <formula>1000</formula>
    </cfRule>
    <cfRule type="cellIs" dxfId="214" priority="6" operator="equal">
      <formula>"-"</formula>
    </cfRule>
  </conditionalFormatting>
  <conditionalFormatting sqref="L24:L25">
    <cfRule type="cellIs" dxfId="213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E561B-953C-4761-8729-19BB7C9A8ACF}">
  <sheetPr>
    <tabColor theme="9" tint="0.39997558519241921"/>
  </sheetPr>
  <dimension ref="A1:Q104"/>
  <sheetViews>
    <sheetView zoomScale="80" zoomScaleNormal="80" workbookViewId="0">
      <pane ySplit="2" topLeftCell="A61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24.5703125" style="129" customWidth="1"/>
    <col min="4" max="4" width="39.85546875" style="129" bestFit="1" customWidth="1"/>
    <col min="5" max="5" width="10.28515625" style="121" customWidth="1"/>
    <col min="6" max="6" width="69.5703125" style="129" customWidth="1"/>
    <col min="7" max="7" width="9.140625" style="129"/>
    <col min="8" max="12" width="8.5703125" style="129" customWidth="1"/>
    <col min="13" max="13" width="12.140625" style="129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286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603</v>
      </c>
      <c r="G3" s="119" t="s">
        <v>103</v>
      </c>
      <c r="H3" s="122">
        <f>20+25+25+29</f>
        <v>99</v>
      </c>
      <c r="I3" s="122"/>
      <c r="J3" s="122"/>
      <c r="K3" s="122">
        <f>67+12+13+15+(22)</f>
        <v>129</v>
      </c>
      <c r="L3" s="123">
        <f t="shared" ref="L3:L11" si="0">IF($E3="ne","-",H3+I3+J3+K3)</f>
        <v>228</v>
      </c>
      <c r="M3" s="124"/>
      <c r="N3" s="124"/>
      <c r="O3" s="124"/>
      <c r="P3" s="124">
        <f t="shared" ref="P3:P23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604</v>
      </c>
      <c r="G4" s="129" t="s">
        <v>103</v>
      </c>
      <c r="H4" s="122">
        <f>IF($E4="ne","-",)</f>
        <v>0</v>
      </c>
      <c r="I4" s="122">
        <f>171+5+5+5</f>
        <v>186</v>
      </c>
      <c r="J4" s="122">
        <f>IF($E4="ne","-",)</f>
        <v>0</v>
      </c>
      <c r="K4" s="122">
        <f>IF($E4="ne","-",)</f>
        <v>0</v>
      </c>
      <c r="L4" s="123">
        <f t="shared" si="0"/>
        <v>186</v>
      </c>
      <c r="M4" s="130"/>
      <c r="N4" s="124"/>
      <c r="O4" s="124"/>
      <c r="P4" s="124">
        <f t="shared" si="1"/>
        <v>0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62</v>
      </c>
      <c r="F5" s="131" t="s">
        <v>605</v>
      </c>
      <c r="G5" s="129" t="s">
        <v>103</v>
      </c>
      <c r="H5" s="122">
        <v>0</v>
      </c>
      <c r="I5" s="122">
        <f t="shared" ref="I5:J17" si="2">IF($E5="ne","-",)</f>
        <v>0</v>
      </c>
      <c r="J5" s="122">
        <f t="shared" si="2"/>
        <v>0</v>
      </c>
      <c r="K5" s="122">
        <f>214+139-15</f>
        <v>338</v>
      </c>
      <c r="L5" s="123">
        <f t="shared" si="0"/>
        <v>338</v>
      </c>
      <c r="M5" s="124"/>
      <c r="N5" s="124"/>
      <c r="O5" s="124"/>
      <c r="P5" s="124">
        <f t="shared" si="1"/>
        <v>0</v>
      </c>
      <c r="Q5" s="129" t="s">
        <v>300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62</v>
      </c>
      <c r="F6" s="131" t="s">
        <v>606</v>
      </c>
      <c r="G6" s="129" t="s">
        <v>103</v>
      </c>
      <c r="H6" s="122">
        <f>108+171+85+5+59+10+11+5</f>
        <v>454</v>
      </c>
      <c r="I6" s="122">
        <f t="shared" si="2"/>
        <v>0</v>
      </c>
      <c r="J6" s="122">
        <f t="shared" si="2"/>
        <v>0</v>
      </c>
      <c r="K6" s="122">
        <f>IF($E6="ne","-",)</f>
        <v>0</v>
      </c>
      <c r="L6" s="123">
        <f t="shared" si="0"/>
        <v>454</v>
      </c>
      <c r="M6" s="124"/>
      <c r="N6" s="130"/>
      <c r="O6" s="130"/>
      <c r="P6" s="130">
        <f t="shared" si="1"/>
        <v>0</v>
      </c>
      <c r="Q6" s="129" t="s">
        <v>301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113</v>
      </c>
      <c r="F7" s="128"/>
      <c r="G7" s="129" t="s">
        <v>103</v>
      </c>
      <c r="H7" s="122">
        <v>0</v>
      </c>
      <c r="I7" s="122" t="str">
        <f t="shared" si="2"/>
        <v>-</v>
      </c>
      <c r="J7" s="122" t="str">
        <f t="shared" si="2"/>
        <v>-</v>
      </c>
      <c r="K7" s="122" t="str">
        <f>IF($E7="ne","-",)</f>
        <v>-</v>
      </c>
      <c r="L7" s="123" t="str">
        <f t="shared" si="0"/>
        <v>-</v>
      </c>
      <c r="M7" s="130"/>
      <c r="N7" s="130"/>
      <c r="O7" s="130"/>
      <c r="P7" s="130">
        <f t="shared" si="1"/>
        <v>0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607</v>
      </c>
      <c r="G8" s="129" t="s">
        <v>103</v>
      </c>
      <c r="H8" s="122">
        <f>24+28</f>
        <v>52</v>
      </c>
      <c r="I8" s="122">
        <f t="shared" si="2"/>
        <v>0</v>
      </c>
      <c r="J8" s="122">
        <f t="shared" si="2"/>
        <v>0</v>
      </c>
      <c r="K8" s="122">
        <f>IF($E8="ne","-",)</f>
        <v>0</v>
      </c>
      <c r="L8" s="123">
        <f t="shared" si="0"/>
        <v>52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F9" s="128"/>
      <c r="G9" s="129" t="s">
        <v>103</v>
      </c>
      <c r="H9" s="122" t="str">
        <f t="shared" ref="H9:H15" si="3">IF($E9="ne","-",)</f>
        <v>-</v>
      </c>
      <c r="I9" s="122" t="str">
        <f t="shared" si="2"/>
        <v>-</v>
      </c>
      <c r="J9" s="122" t="str">
        <f t="shared" si="2"/>
        <v>-</v>
      </c>
      <c r="K9" s="122" t="str">
        <f>IF($E9="ne","-",)</f>
        <v>-</v>
      </c>
      <c r="L9" s="123" t="str">
        <f t="shared" si="0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62</v>
      </c>
      <c r="F10" s="131" t="s">
        <v>608</v>
      </c>
      <c r="G10" s="129" t="s">
        <v>103</v>
      </c>
      <c r="H10" s="122">
        <f t="shared" si="3"/>
        <v>0</v>
      </c>
      <c r="I10" s="122">
        <f t="shared" si="2"/>
        <v>0</v>
      </c>
      <c r="J10" s="122">
        <f t="shared" si="2"/>
        <v>0</v>
      </c>
      <c r="K10" s="122">
        <f>239+63</f>
        <v>302</v>
      </c>
      <c r="L10" s="123">
        <f t="shared" si="0"/>
        <v>302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609</v>
      </c>
      <c r="G11" s="129" t="s">
        <v>103</v>
      </c>
      <c r="H11" s="122">
        <f t="shared" si="3"/>
        <v>0</v>
      </c>
      <c r="I11" s="122">
        <f t="shared" si="2"/>
        <v>0</v>
      </c>
      <c r="J11" s="122">
        <f t="shared" si="2"/>
        <v>0</v>
      </c>
      <c r="K11" s="122">
        <f>198+(135+47)</f>
        <v>380</v>
      </c>
      <c r="L11" s="123">
        <f t="shared" si="0"/>
        <v>380</v>
      </c>
      <c r="M11" s="130"/>
      <c r="N11" s="130"/>
      <c r="O11" s="130"/>
      <c r="P11" s="130">
        <f t="shared" si="1"/>
        <v>0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225</v>
      </c>
      <c r="F12" s="111" t="s">
        <v>610</v>
      </c>
      <c r="G12" s="129" t="s">
        <v>74</v>
      </c>
      <c r="H12" s="122">
        <f t="shared" si="3"/>
        <v>0</v>
      </c>
      <c r="I12" s="122">
        <f t="shared" si="2"/>
        <v>0</v>
      </c>
      <c r="J12" s="122">
        <f t="shared" si="2"/>
        <v>0</v>
      </c>
      <c r="K12" s="122">
        <f t="shared" ref="K12:K18" si="4">IF($E12="ne","-",)</f>
        <v>0</v>
      </c>
      <c r="L12" s="123">
        <v>0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113</v>
      </c>
      <c r="F13" s="128"/>
      <c r="G13" s="129" t="s">
        <v>74</v>
      </c>
      <c r="H13" s="122" t="str">
        <f t="shared" si="3"/>
        <v>-</v>
      </c>
      <c r="I13" s="122" t="str">
        <f t="shared" si="2"/>
        <v>-</v>
      </c>
      <c r="J13" s="122" t="str">
        <f t="shared" si="2"/>
        <v>-</v>
      </c>
      <c r="K13" s="122" t="str">
        <f t="shared" si="4"/>
        <v>-</v>
      </c>
      <c r="L13" s="123" t="str">
        <f>IF($E13="ne","-",H13+I13+J13+K13)</f>
        <v>-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62</v>
      </c>
      <c r="F14" s="131" t="s">
        <v>611</v>
      </c>
      <c r="G14" s="129" t="s">
        <v>74</v>
      </c>
      <c r="H14" s="122">
        <f t="shared" si="3"/>
        <v>0</v>
      </c>
      <c r="I14" s="122">
        <f t="shared" si="2"/>
        <v>0</v>
      </c>
      <c r="J14" s="122">
        <f t="shared" si="2"/>
        <v>0</v>
      </c>
      <c r="K14" s="122">
        <f t="shared" si="4"/>
        <v>0</v>
      </c>
      <c r="L14" s="123">
        <v>2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F15" s="128"/>
      <c r="G15" s="129" t="s">
        <v>103</v>
      </c>
      <c r="H15" s="122" t="str">
        <f t="shared" si="3"/>
        <v>-</v>
      </c>
      <c r="I15" s="122" t="str">
        <f t="shared" si="2"/>
        <v>-</v>
      </c>
      <c r="J15" s="122" t="str">
        <f t="shared" si="2"/>
        <v>-</v>
      </c>
      <c r="K15" s="122" t="str">
        <f t="shared" si="4"/>
        <v>-</v>
      </c>
      <c r="L15" s="123" t="str">
        <f>IF($E15="ne","-",H15+I15+J15+K15)</f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287" t="s">
        <v>612</v>
      </c>
      <c r="G16" s="134" t="s">
        <v>103</v>
      </c>
      <c r="H16" s="137">
        <v>12</v>
      </c>
      <c r="I16" s="137">
        <f t="shared" si="2"/>
        <v>0</v>
      </c>
      <c r="J16" s="137">
        <f t="shared" si="2"/>
        <v>0</v>
      </c>
      <c r="K16" s="137">
        <f t="shared" si="4"/>
        <v>0</v>
      </c>
      <c r="L16" s="138">
        <f>12+14</f>
        <v>26</v>
      </c>
      <c r="M16" s="139"/>
      <c r="N16" s="139"/>
      <c r="O16" s="139"/>
      <c r="P16" s="139">
        <f t="shared" si="1"/>
        <v>0</v>
      </c>
      <c r="Q16" s="134" t="s">
        <v>302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62</v>
      </c>
      <c r="F17" s="131" t="s">
        <v>613</v>
      </c>
      <c r="G17" s="146" t="s">
        <v>63</v>
      </c>
      <c r="H17" s="122">
        <v>5</v>
      </c>
      <c r="I17" s="122">
        <f t="shared" si="2"/>
        <v>0</v>
      </c>
      <c r="J17" s="122">
        <f t="shared" si="2"/>
        <v>0</v>
      </c>
      <c r="K17" s="122">
        <f t="shared" si="4"/>
        <v>0</v>
      </c>
      <c r="L17" s="123">
        <f>IF($E17="ne","-",H17+I17+J17+K17)</f>
        <v>5</v>
      </c>
      <c r="M17" s="147"/>
      <c r="N17" s="147"/>
      <c r="O17" s="147"/>
      <c r="P17" s="147">
        <f t="shared" si="1"/>
        <v>0</v>
      </c>
      <c r="Q17" s="146" t="s">
        <v>303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131" t="s">
        <v>614</v>
      </c>
      <c r="G18" s="134" t="s">
        <v>63</v>
      </c>
      <c r="H18" s="137">
        <f t="shared" ref="H18:H23" si="5">IF($E18="ne","-",)</f>
        <v>0</v>
      </c>
      <c r="I18" s="137">
        <v>1</v>
      </c>
      <c r="J18" s="137">
        <f>IF($E18="ne","-",)</f>
        <v>0</v>
      </c>
      <c r="K18" s="137">
        <f t="shared" si="4"/>
        <v>0</v>
      </c>
      <c r="L18" s="138">
        <f>IF($E18="ne","-",H18+I18+J18+K18)</f>
        <v>1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113</v>
      </c>
      <c r="F19" s="145"/>
      <c r="G19" s="146" t="s">
        <v>63</v>
      </c>
      <c r="H19" s="122" t="str">
        <f t="shared" si="5"/>
        <v>-</v>
      </c>
      <c r="I19" s="122" t="str">
        <f>IF($E19="ne","-",)</f>
        <v>-</v>
      </c>
      <c r="J19" s="122">
        <v>0</v>
      </c>
      <c r="K19" s="122">
        <v>0</v>
      </c>
      <c r="L19" s="123" t="str">
        <f>IF($E19="ne","-",H19+I19+J19+K19)</f>
        <v>-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31" t="s">
        <v>615</v>
      </c>
      <c r="G20" s="129" t="s">
        <v>63</v>
      </c>
      <c r="H20" s="122">
        <f t="shared" si="5"/>
        <v>0</v>
      </c>
      <c r="I20" s="122">
        <v>1</v>
      </c>
      <c r="J20" s="122">
        <f t="shared" ref="J20:K23" si="6">IF($E20="ne","-",)</f>
        <v>0</v>
      </c>
      <c r="K20" s="122">
        <f t="shared" si="6"/>
        <v>0</v>
      </c>
      <c r="L20" s="123">
        <f>IF($E20="ne","-",H20+I20+J20+K20)</f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62</v>
      </c>
      <c r="F21" s="287" t="s">
        <v>616</v>
      </c>
      <c r="G21" s="134" t="s">
        <v>63</v>
      </c>
      <c r="H21" s="137">
        <f t="shared" si="5"/>
        <v>0</v>
      </c>
      <c r="I21" s="122">
        <v>2</v>
      </c>
      <c r="J21" s="122">
        <f t="shared" si="6"/>
        <v>0</v>
      </c>
      <c r="K21" s="122">
        <f t="shared" si="6"/>
        <v>0</v>
      </c>
      <c r="L21" s="138">
        <f>IF($E21="ne","-",H21+I21+J21+K21)</f>
        <v>2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287" t="s">
        <v>617</v>
      </c>
      <c r="G22" s="155" t="s">
        <v>74</v>
      </c>
      <c r="H22" s="156">
        <f t="shared" si="5"/>
        <v>0</v>
      </c>
      <c r="I22" s="156">
        <f>IF($E22="ne","-",)</f>
        <v>0</v>
      </c>
      <c r="J22" s="156">
        <f t="shared" si="6"/>
        <v>0</v>
      </c>
      <c r="K22" s="156">
        <f t="shared" si="6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618</v>
      </c>
      <c r="G23" s="155" t="s">
        <v>74</v>
      </c>
      <c r="H23" s="156">
        <f t="shared" si="5"/>
        <v>0</v>
      </c>
      <c r="I23" s="156">
        <f>IF($E23="ne","-",)</f>
        <v>0</v>
      </c>
      <c r="J23" s="156">
        <f t="shared" si="6"/>
        <v>0</v>
      </c>
      <c r="K23" s="156">
        <f t="shared" si="6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2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f>IF($E25="ne","-",H25+I25+J25+K25)</f>
        <v>2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619</v>
      </c>
      <c r="G29" s="146" t="s">
        <v>63</v>
      </c>
      <c r="H29" s="187">
        <v>4</v>
      </c>
      <c r="I29" s="187">
        <v>1</v>
      </c>
      <c r="J29" s="187">
        <f t="shared" ref="J29:K39" si="7">IF($E29="ne","-",)</f>
        <v>0</v>
      </c>
      <c r="K29" s="187">
        <f t="shared" si="7"/>
        <v>0</v>
      </c>
      <c r="L29" s="184">
        <f t="shared" ref="L29:L38" si="8">IF($E29="ne","-",H29+I29+J29+K29)</f>
        <v>5</v>
      </c>
      <c r="M29" s="171"/>
      <c r="N29" s="171"/>
      <c r="O29" s="171"/>
      <c r="P29" s="171">
        <f t="shared" ref="P29:P41" si="9">IFERROR(N29+O29,"-")</f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62</v>
      </c>
      <c r="F30" s="131" t="s">
        <v>620</v>
      </c>
      <c r="G30" s="129" t="s">
        <v>63</v>
      </c>
      <c r="H30" s="122">
        <v>1</v>
      </c>
      <c r="I30" s="122">
        <f>IF($E30="ne","-",)</f>
        <v>0</v>
      </c>
      <c r="J30" s="122">
        <f t="shared" si="7"/>
        <v>0</v>
      </c>
      <c r="K30" s="122">
        <f t="shared" si="7"/>
        <v>0</v>
      </c>
      <c r="L30" s="123">
        <f t="shared" si="8"/>
        <v>1</v>
      </c>
      <c r="M30" s="175"/>
      <c r="N30" s="175"/>
      <c r="O30" s="175"/>
      <c r="P30" s="175">
        <f t="shared" si="9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621</v>
      </c>
      <c r="G31" s="129" t="s">
        <v>63</v>
      </c>
      <c r="H31" s="122">
        <f>IF($E31="ne","-",)</f>
        <v>0</v>
      </c>
      <c r="I31" s="122">
        <v>1</v>
      </c>
      <c r="J31" s="122">
        <f t="shared" si="7"/>
        <v>0</v>
      </c>
      <c r="K31" s="122">
        <f t="shared" si="7"/>
        <v>0</v>
      </c>
      <c r="L31" s="123">
        <f t="shared" si="8"/>
        <v>1</v>
      </c>
      <c r="M31" s="175"/>
      <c r="N31" s="175"/>
      <c r="O31" s="175"/>
      <c r="P31" s="175">
        <f t="shared" si="9"/>
        <v>0</v>
      </c>
      <c r="Q31" s="129" t="s">
        <v>281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113</v>
      </c>
      <c r="G32" s="129" t="s">
        <v>63</v>
      </c>
      <c r="H32" s="122" t="str">
        <f>IF($E32="ne","-",)</f>
        <v>-</v>
      </c>
      <c r="I32" s="122" t="str">
        <f t="shared" ref="I32:I37" si="10">IF($E32="ne","-",)</f>
        <v>-</v>
      </c>
      <c r="J32" s="122" t="str">
        <f t="shared" si="7"/>
        <v>-</v>
      </c>
      <c r="K32" s="122" t="str">
        <f t="shared" si="7"/>
        <v>-</v>
      </c>
      <c r="L32" s="123" t="str">
        <f t="shared" si="8"/>
        <v>-</v>
      </c>
      <c r="M32" s="175"/>
      <c r="N32" s="175"/>
      <c r="O32" s="175"/>
      <c r="P32" s="175">
        <f t="shared" si="9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G33" s="129" t="s">
        <v>63</v>
      </c>
      <c r="H33" s="122" t="str">
        <f>IF($E33="ne","-",)</f>
        <v>-</v>
      </c>
      <c r="I33" s="122" t="str">
        <f t="shared" si="10"/>
        <v>-</v>
      </c>
      <c r="J33" s="122" t="str">
        <f t="shared" si="7"/>
        <v>-</v>
      </c>
      <c r="K33" s="122" t="str">
        <f t="shared" si="7"/>
        <v>-</v>
      </c>
      <c r="L33" s="123" t="str">
        <f t="shared" si="8"/>
        <v>-</v>
      </c>
      <c r="M33" s="175"/>
      <c r="N33" s="175"/>
      <c r="O33" s="175"/>
      <c r="P33" s="175">
        <f t="shared" si="9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287" t="s">
        <v>622</v>
      </c>
      <c r="G34" s="134" t="s">
        <v>63</v>
      </c>
      <c r="H34" s="122">
        <v>1</v>
      </c>
      <c r="I34" s="122">
        <f t="shared" si="10"/>
        <v>0</v>
      </c>
      <c r="J34" s="122">
        <f t="shared" si="7"/>
        <v>0</v>
      </c>
      <c r="K34" s="122">
        <f t="shared" si="7"/>
        <v>0</v>
      </c>
      <c r="L34" s="138">
        <f t="shared" si="8"/>
        <v>1</v>
      </c>
      <c r="M34" s="178"/>
      <c r="N34" s="178"/>
      <c r="O34" s="178"/>
      <c r="P34" s="178">
        <f t="shared" si="9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7" t="s">
        <v>623</v>
      </c>
      <c r="G35" s="155" t="s">
        <v>74</v>
      </c>
      <c r="H35" s="156">
        <v>2</v>
      </c>
      <c r="I35" s="156">
        <f t="shared" si="10"/>
        <v>0</v>
      </c>
      <c r="J35" s="156">
        <f t="shared" si="7"/>
        <v>0</v>
      </c>
      <c r="K35" s="156">
        <f t="shared" si="7"/>
        <v>0</v>
      </c>
      <c r="L35" s="138">
        <f t="shared" si="8"/>
        <v>2</v>
      </c>
      <c r="M35" s="181"/>
      <c r="N35" s="181"/>
      <c r="O35" s="181"/>
      <c r="P35" s="181">
        <f t="shared" si="9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624</v>
      </c>
      <c r="G36" s="129" t="s">
        <v>103</v>
      </c>
      <c r="H36" s="122">
        <f>2*(27+3+3+2+4)</f>
        <v>78</v>
      </c>
      <c r="I36" s="122">
        <f t="shared" si="10"/>
        <v>0</v>
      </c>
      <c r="J36" s="122">
        <f t="shared" si="7"/>
        <v>0</v>
      </c>
      <c r="K36" s="122">
        <f t="shared" si="7"/>
        <v>0</v>
      </c>
      <c r="L36" s="123">
        <v>6</v>
      </c>
      <c r="M36" s="175"/>
      <c r="N36" s="175"/>
      <c r="O36" s="175"/>
      <c r="P36" s="175">
        <f t="shared" si="9"/>
        <v>0</v>
      </c>
      <c r="Q36" s="129" t="s">
        <v>304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62</v>
      </c>
      <c r="F37" s="131" t="s">
        <v>625</v>
      </c>
      <c r="G37" s="129" t="s">
        <v>103</v>
      </c>
      <c r="H37" s="122">
        <f>2*13</f>
        <v>26</v>
      </c>
      <c r="I37" s="122">
        <f t="shared" si="10"/>
        <v>0</v>
      </c>
      <c r="J37" s="122">
        <f t="shared" si="7"/>
        <v>0</v>
      </c>
      <c r="K37" s="122">
        <f t="shared" si="7"/>
        <v>0</v>
      </c>
      <c r="L37" s="123">
        <f t="shared" si="8"/>
        <v>26</v>
      </c>
      <c r="M37" s="175"/>
      <c r="N37" s="175"/>
      <c r="O37" s="175"/>
      <c r="P37" s="175">
        <f t="shared" si="9"/>
        <v>0</v>
      </c>
      <c r="Q37" s="129" t="s">
        <v>305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626</v>
      </c>
      <c r="G38" s="129" t="s">
        <v>103</v>
      </c>
      <c r="H38" s="122">
        <f>IF($E38="ne","-",)</f>
        <v>0</v>
      </c>
      <c r="I38" s="122">
        <f>2*15+4*4+6*15+8*9+10*15+12*4+15*15+16*9+18*15+20*4+22*15+24*11</f>
        <v>1719</v>
      </c>
      <c r="J38" s="122">
        <f t="shared" si="7"/>
        <v>0</v>
      </c>
      <c r="K38" s="122">
        <f t="shared" si="7"/>
        <v>0</v>
      </c>
      <c r="L38" s="123">
        <f t="shared" si="8"/>
        <v>1719</v>
      </c>
      <c r="M38" s="286"/>
      <c r="N38" s="175"/>
      <c r="O38" s="175"/>
      <c r="P38" s="175">
        <f t="shared" si="9"/>
        <v>0</v>
      </c>
    </row>
    <row r="39" spans="1:17" s="134" customFormat="1" x14ac:dyDescent="0.25">
      <c r="A39" s="176" t="s">
        <v>58</v>
      </c>
      <c r="B39" s="133" t="s">
        <v>171</v>
      </c>
      <c r="C39" s="134" t="s">
        <v>163</v>
      </c>
      <c r="D39" s="135" t="s">
        <v>172</v>
      </c>
      <c r="E39" s="136" t="s">
        <v>62</v>
      </c>
      <c r="F39" s="131" t="s">
        <v>627</v>
      </c>
      <c r="G39" s="134" t="s">
        <v>103</v>
      </c>
      <c r="H39" s="137">
        <v>79</v>
      </c>
      <c r="I39" s="137">
        <f>IF($E39="ne","-",)</f>
        <v>0</v>
      </c>
      <c r="J39" s="137">
        <f t="shared" si="7"/>
        <v>0</v>
      </c>
      <c r="K39" s="137">
        <f t="shared" si="7"/>
        <v>0</v>
      </c>
      <c r="L39" s="138">
        <v>79</v>
      </c>
      <c r="M39" s="139"/>
      <c r="N39" s="178"/>
      <c r="O39" s="178"/>
      <c r="P39" s="178">
        <f t="shared" si="9"/>
        <v>0</v>
      </c>
    </row>
    <row r="40" spans="1:17" s="134" customFormat="1" x14ac:dyDescent="0.25">
      <c r="A40" s="176" t="s">
        <v>58</v>
      </c>
      <c r="B40" s="126" t="s">
        <v>173</v>
      </c>
      <c r="C40" s="134" t="s">
        <v>174</v>
      </c>
      <c r="D40" s="135" t="s">
        <v>174</v>
      </c>
      <c r="E40" s="136" t="s">
        <v>62</v>
      </c>
      <c r="F40" s="288" t="s">
        <v>531</v>
      </c>
      <c r="G40" s="134" t="s">
        <v>74</v>
      </c>
      <c r="H40" s="137">
        <v>0</v>
      </c>
      <c r="I40" s="137">
        <v>0</v>
      </c>
      <c r="J40" s="137">
        <v>0</v>
      </c>
      <c r="K40" s="137">
        <v>0</v>
      </c>
      <c r="L40" s="138">
        <v>1</v>
      </c>
      <c r="M40" s="178"/>
      <c r="N40" s="178"/>
      <c r="O40" s="178"/>
      <c r="P40" s="178">
        <f t="shared" si="9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628</v>
      </c>
      <c r="G41" s="155" t="s">
        <v>74</v>
      </c>
      <c r="H41" s="156">
        <f t="shared" ref="H41:K67" si="11">IF($E41="ne","-",)</f>
        <v>0</v>
      </c>
      <c r="I41" s="156">
        <f t="shared" si="11"/>
        <v>0</v>
      </c>
      <c r="J41" s="156">
        <f t="shared" si="11"/>
        <v>0</v>
      </c>
      <c r="K41" s="156">
        <f t="shared" si="11"/>
        <v>0</v>
      </c>
      <c r="L41" s="138">
        <v>1</v>
      </c>
      <c r="M41" s="181"/>
      <c r="N41" s="181"/>
      <c r="O41" s="181"/>
      <c r="P41" s="181">
        <f t="shared" si="9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629</v>
      </c>
      <c r="G45" s="146" t="s">
        <v>74</v>
      </c>
      <c r="H45" s="187">
        <v>1</v>
      </c>
      <c r="I45" s="187">
        <v>1</v>
      </c>
      <c r="J45" s="187">
        <f t="shared" si="11"/>
        <v>0</v>
      </c>
      <c r="K45" s="187">
        <f t="shared" si="11"/>
        <v>0</v>
      </c>
      <c r="L45" s="184">
        <f t="shared" ref="L45:L83" si="12">IF($E45="ne","-",H45+I45+J45+K45)</f>
        <v>2</v>
      </c>
      <c r="P45" s="146">
        <f t="shared" ref="P45:P76" si="13">IFERROR(N45+O45,"-")</f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630</v>
      </c>
      <c r="G46" s="129" t="s">
        <v>74</v>
      </c>
      <c r="H46" s="122">
        <v>4</v>
      </c>
      <c r="I46" s="122">
        <v>1</v>
      </c>
      <c r="J46" s="122">
        <f t="shared" si="11"/>
        <v>0</v>
      </c>
      <c r="K46" s="122">
        <f t="shared" si="11"/>
        <v>0</v>
      </c>
      <c r="L46" s="123">
        <f t="shared" si="12"/>
        <v>5</v>
      </c>
      <c r="P46" s="129">
        <f t="shared" si="13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631</v>
      </c>
      <c r="G47" s="129" t="s">
        <v>74</v>
      </c>
      <c r="H47" s="122">
        <v>1</v>
      </c>
      <c r="I47" s="122">
        <v>1</v>
      </c>
      <c r="J47" s="122">
        <f t="shared" si="11"/>
        <v>0</v>
      </c>
      <c r="K47" s="122">
        <f t="shared" si="11"/>
        <v>0</v>
      </c>
      <c r="L47" s="123">
        <f t="shared" si="12"/>
        <v>2</v>
      </c>
      <c r="P47" s="129">
        <f t="shared" si="13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631</v>
      </c>
      <c r="G48" s="129" t="s">
        <v>74</v>
      </c>
      <c r="H48" s="122">
        <v>1</v>
      </c>
      <c r="I48" s="122">
        <v>1</v>
      </c>
      <c r="J48" s="122">
        <f t="shared" si="11"/>
        <v>0</v>
      </c>
      <c r="K48" s="122">
        <f t="shared" si="11"/>
        <v>0</v>
      </c>
      <c r="L48" s="123">
        <f t="shared" si="12"/>
        <v>2</v>
      </c>
      <c r="P48" s="129">
        <f t="shared" si="13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129" t="s">
        <v>632</v>
      </c>
      <c r="G49" s="129" t="s">
        <v>74</v>
      </c>
      <c r="H49" s="122">
        <v>4</v>
      </c>
      <c r="I49" s="122">
        <v>7</v>
      </c>
      <c r="J49" s="122">
        <f t="shared" si="11"/>
        <v>0</v>
      </c>
      <c r="K49" s="122">
        <f t="shared" si="11"/>
        <v>0</v>
      </c>
      <c r="L49" s="123">
        <f t="shared" si="12"/>
        <v>11</v>
      </c>
      <c r="P49" s="129">
        <f t="shared" si="13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633</v>
      </c>
      <c r="G50" s="129" t="s">
        <v>74</v>
      </c>
      <c r="H50" s="122">
        <v>7</v>
      </c>
      <c r="I50" s="122">
        <v>6</v>
      </c>
      <c r="J50" s="122">
        <f t="shared" si="11"/>
        <v>0</v>
      </c>
      <c r="K50" s="122">
        <f t="shared" si="11"/>
        <v>0</v>
      </c>
      <c r="L50" s="123">
        <f t="shared" si="12"/>
        <v>13</v>
      </c>
      <c r="P50" s="129">
        <f t="shared" si="13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634</v>
      </c>
      <c r="G51" s="129" t="s">
        <v>74</v>
      </c>
      <c r="H51" s="122">
        <v>1</v>
      </c>
      <c r="I51" s="122">
        <v>1</v>
      </c>
      <c r="J51" s="122">
        <f t="shared" si="11"/>
        <v>0</v>
      </c>
      <c r="K51" s="122">
        <v>1</v>
      </c>
      <c r="L51" s="123">
        <f t="shared" si="12"/>
        <v>3</v>
      </c>
      <c r="P51" s="129">
        <f t="shared" si="13"/>
        <v>0</v>
      </c>
    </row>
    <row r="52" spans="1:17" s="146" customForma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635</v>
      </c>
      <c r="G52" s="146" t="s">
        <v>63</v>
      </c>
      <c r="H52" s="187">
        <v>1</v>
      </c>
      <c r="I52" s="187">
        <v>1</v>
      </c>
      <c r="J52" s="187">
        <f t="shared" si="11"/>
        <v>0</v>
      </c>
      <c r="K52" s="187">
        <f t="shared" si="11"/>
        <v>0</v>
      </c>
      <c r="L52" s="184">
        <f t="shared" si="12"/>
        <v>2</v>
      </c>
      <c r="P52" s="146">
        <f t="shared" si="13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v>0</v>
      </c>
      <c r="I53" s="122">
        <v>0</v>
      </c>
      <c r="J53" s="122">
        <f t="shared" si="11"/>
        <v>0</v>
      </c>
      <c r="K53" s="122">
        <f t="shared" si="11"/>
        <v>0</v>
      </c>
      <c r="L53" s="123">
        <v>1</v>
      </c>
      <c r="P53" s="129">
        <f t="shared" si="13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v>0</v>
      </c>
      <c r="I54" s="137">
        <v>0</v>
      </c>
      <c r="J54" s="137">
        <f t="shared" si="11"/>
        <v>0</v>
      </c>
      <c r="K54" s="137">
        <f t="shared" si="11"/>
        <v>0</v>
      </c>
      <c r="L54" s="138">
        <v>1</v>
      </c>
      <c r="P54" s="134">
        <f t="shared" si="13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636</v>
      </c>
      <c r="G55" s="129" t="s">
        <v>63</v>
      </c>
      <c r="H55" s="122">
        <v>18</v>
      </c>
      <c r="I55" s="122">
        <v>0</v>
      </c>
      <c r="J55" s="122">
        <f t="shared" si="11"/>
        <v>0</v>
      </c>
      <c r="K55" s="122">
        <f>9+19</f>
        <v>28</v>
      </c>
      <c r="L55" s="123">
        <f t="shared" si="12"/>
        <v>46</v>
      </c>
      <c r="P55" s="129">
        <f t="shared" si="13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637</v>
      </c>
      <c r="G56" s="129" t="s">
        <v>63</v>
      </c>
      <c r="H56" s="290">
        <v>8</v>
      </c>
      <c r="I56" s="290">
        <v>6</v>
      </c>
      <c r="J56" s="122">
        <f>IF($E56="ne","-",)</f>
        <v>0</v>
      </c>
      <c r="K56" s="122">
        <f>IF($E56="ne","-",)</f>
        <v>0</v>
      </c>
      <c r="L56" s="123">
        <f>IF($E56="ne","-",H56+I56+J56+K56)</f>
        <v>14</v>
      </c>
      <c r="P56" s="129">
        <f t="shared" si="13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638</v>
      </c>
      <c r="G57" s="134" t="s">
        <v>74</v>
      </c>
      <c r="H57" s="137">
        <v>0</v>
      </c>
      <c r="I57" s="137">
        <v>0</v>
      </c>
      <c r="J57" s="137">
        <v>0</v>
      </c>
      <c r="K57" s="137">
        <v>0</v>
      </c>
      <c r="L57" s="138">
        <v>1</v>
      </c>
      <c r="P57" s="134">
        <f t="shared" si="13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639</v>
      </c>
      <c r="G58" s="129" t="s">
        <v>63</v>
      </c>
      <c r="H58" s="122">
        <v>7</v>
      </c>
      <c r="I58" s="122">
        <v>4</v>
      </c>
      <c r="J58" s="122">
        <v>3</v>
      </c>
      <c r="K58" s="122">
        <v>1</v>
      </c>
      <c r="L58" s="123">
        <f t="shared" si="12"/>
        <v>15</v>
      </c>
      <c r="P58" s="129">
        <f t="shared" si="13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640</v>
      </c>
      <c r="G59" s="134" t="s">
        <v>63</v>
      </c>
      <c r="H59" s="137">
        <v>1</v>
      </c>
      <c r="I59" s="137">
        <v>2</v>
      </c>
      <c r="J59" s="137">
        <f t="shared" si="11"/>
        <v>0</v>
      </c>
      <c r="K59" s="137">
        <f t="shared" si="11"/>
        <v>0</v>
      </c>
      <c r="L59" s="138">
        <f t="shared" si="12"/>
        <v>3</v>
      </c>
      <c r="O59" s="129"/>
      <c r="P59" s="129">
        <f t="shared" si="13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641</v>
      </c>
      <c r="G60" s="146" t="s">
        <v>74</v>
      </c>
      <c r="H60" s="187">
        <v>3</v>
      </c>
      <c r="I60" s="187">
        <v>2</v>
      </c>
      <c r="J60" s="187">
        <f t="shared" si="11"/>
        <v>0</v>
      </c>
      <c r="K60" s="187">
        <f t="shared" si="11"/>
        <v>0</v>
      </c>
      <c r="L60" s="184">
        <f t="shared" si="12"/>
        <v>5</v>
      </c>
      <c r="M60" s="146"/>
      <c r="N60" s="146"/>
      <c r="O60" s="146"/>
      <c r="P60" s="146">
        <f t="shared" si="13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642</v>
      </c>
      <c r="G61" s="129" t="s">
        <v>74</v>
      </c>
      <c r="H61" s="122">
        <v>0</v>
      </c>
      <c r="I61" s="122">
        <v>0</v>
      </c>
      <c r="J61" s="122">
        <v>2</v>
      </c>
      <c r="K61" s="122">
        <f t="shared" si="11"/>
        <v>0</v>
      </c>
      <c r="L61" s="123">
        <f t="shared" si="12"/>
        <v>2</v>
      </c>
      <c r="P61" s="129">
        <f t="shared" si="13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642</v>
      </c>
      <c r="G62" s="129" t="s">
        <v>74</v>
      </c>
      <c r="H62" s="122">
        <v>1</v>
      </c>
      <c r="I62" s="122">
        <v>1</v>
      </c>
      <c r="J62" s="122">
        <f t="shared" si="11"/>
        <v>0</v>
      </c>
      <c r="K62" s="122">
        <f t="shared" si="11"/>
        <v>0</v>
      </c>
      <c r="L62" s="123">
        <f t="shared" si="12"/>
        <v>2</v>
      </c>
      <c r="P62" s="129">
        <f t="shared" si="13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643</v>
      </c>
      <c r="G63" s="129" t="s">
        <v>74</v>
      </c>
      <c r="H63" s="122">
        <v>1</v>
      </c>
      <c r="I63" s="122">
        <v>1</v>
      </c>
      <c r="J63" s="122">
        <f t="shared" si="11"/>
        <v>0</v>
      </c>
      <c r="K63" s="122">
        <f t="shared" si="11"/>
        <v>0</v>
      </c>
      <c r="L63" s="123">
        <f t="shared" si="12"/>
        <v>2</v>
      </c>
      <c r="P63" s="129">
        <f t="shared" si="13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644</v>
      </c>
      <c r="G64" s="129" t="s">
        <v>74</v>
      </c>
      <c r="H64" s="122">
        <v>1</v>
      </c>
      <c r="I64" s="122">
        <v>1</v>
      </c>
      <c r="J64" s="122">
        <f t="shared" si="11"/>
        <v>0</v>
      </c>
      <c r="K64" s="122">
        <f t="shared" si="11"/>
        <v>0</v>
      </c>
      <c r="L64" s="123">
        <f t="shared" si="12"/>
        <v>2</v>
      </c>
      <c r="P64" s="129">
        <f t="shared" si="13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29" t="s">
        <v>645</v>
      </c>
      <c r="G65" s="129" t="s">
        <v>74</v>
      </c>
      <c r="H65" s="122">
        <f t="shared" si="11"/>
        <v>0</v>
      </c>
      <c r="I65" s="122">
        <f t="shared" si="11"/>
        <v>0</v>
      </c>
      <c r="J65" s="122">
        <f t="shared" si="11"/>
        <v>0</v>
      </c>
      <c r="K65" s="122">
        <v>1</v>
      </c>
      <c r="L65" s="123">
        <f t="shared" si="12"/>
        <v>1</v>
      </c>
      <c r="P65" s="129">
        <f t="shared" si="13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3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646</v>
      </c>
      <c r="G67" s="129" t="s">
        <v>74</v>
      </c>
      <c r="H67" s="122">
        <v>0</v>
      </c>
      <c r="I67" s="122">
        <v>0</v>
      </c>
      <c r="J67" s="122">
        <v>2</v>
      </c>
      <c r="K67" s="122">
        <f t="shared" si="11"/>
        <v>0</v>
      </c>
      <c r="L67" s="123">
        <f t="shared" si="12"/>
        <v>2</v>
      </c>
      <c r="P67" s="129">
        <f t="shared" si="13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29" t="s">
        <v>647</v>
      </c>
      <c r="G68" s="129" t="s">
        <v>74</v>
      </c>
      <c r="H68" s="129">
        <v>0</v>
      </c>
      <c r="I68" s="129">
        <v>0</v>
      </c>
      <c r="J68" s="122">
        <v>5</v>
      </c>
      <c r="K68" s="129">
        <v>0</v>
      </c>
      <c r="L68" s="123">
        <f t="shared" si="12"/>
        <v>5</v>
      </c>
      <c r="P68" s="129">
        <f t="shared" si="13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648</v>
      </c>
      <c r="G69" s="129" t="s">
        <v>74</v>
      </c>
      <c r="H69" s="122">
        <v>0</v>
      </c>
      <c r="I69" s="122">
        <v>0</v>
      </c>
      <c r="J69" s="122">
        <v>2</v>
      </c>
      <c r="K69" s="122">
        <v>0</v>
      </c>
      <c r="L69" s="123">
        <f t="shared" si="12"/>
        <v>2</v>
      </c>
      <c r="P69" s="129">
        <f t="shared" si="13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3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649</v>
      </c>
      <c r="G71" s="129" t="s">
        <v>74</v>
      </c>
      <c r="H71" s="122">
        <v>0</v>
      </c>
      <c r="I71" s="122">
        <v>0</v>
      </c>
      <c r="J71" s="122">
        <f t="shared" ref="H71:K86" si="14">IF($E71="ne","-",)</f>
        <v>0</v>
      </c>
      <c r="K71" s="122">
        <f t="shared" si="14"/>
        <v>0</v>
      </c>
      <c r="L71" s="123">
        <v>1</v>
      </c>
      <c r="P71" s="129">
        <f t="shared" si="13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650</v>
      </c>
      <c r="G72" s="129" t="s">
        <v>74</v>
      </c>
      <c r="H72" s="122">
        <v>0</v>
      </c>
      <c r="I72" s="122">
        <v>0</v>
      </c>
      <c r="J72" s="122">
        <f t="shared" si="14"/>
        <v>0</v>
      </c>
      <c r="K72" s="122">
        <f t="shared" si="14"/>
        <v>0</v>
      </c>
      <c r="L72" s="123">
        <v>1</v>
      </c>
      <c r="P72" s="129">
        <f t="shared" si="13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651</v>
      </c>
      <c r="G73" s="129" t="s">
        <v>74</v>
      </c>
      <c r="H73" s="122">
        <v>0</v>
      </c>
      <c r="I73" s="122">
        <v>0</v>
      </c>
      <c r="J73" s="122">
        <f t="shared" si="14"/>
        <v>0</v>
      </c>
      <c r="K73" s="122">
        <f t="shared" si="14"/>
        <v>0</v>
      </c>
      <c r="L73" s="123">
        <v>1</v>
      </c>
      <c r="P73" s="129">
        <f t="shared" si="13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652</v>
      </c>
      <c r="G74" s="134" t="s">
        <v>74</v>
      </c>
      <c r="H74" s="137">
        <v>1</v>
      </c>
      <c r="I74" s="137">
        <v>1</v>
      </c>
      <c r="J74" s="137">
        <f t="shared" si="14"/>
        <v>0</v>
      </c>
      <c r="K74" s="137">
        <f t="shared" si="14"/>
        <v>0</v>
      </c>
      <c r="L74" s="138">
        <f t="shared" si="12"/>
        <v>2</v>
      </c>
      <c r="P74" s="134">
        <f t="shared" si="13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61" t="s">
        <v>653</v>
      </c>
      <c r="G75" s="129" t="s">
        <v>74</v>
      </c>
      <c r="H75" s="122">
        <v>1</v>
      </c>
      <c r="I75" s="122">
        <v>1</v>
      </c>
      <c r="J75" s="122">
        <f t="shared" si="14"/>
        <v>0</v>
      </c>
      <c r="K75" s="122">
        <f t="shared" si="14"/>
        <v>0</v>
      </c>
      <c r="L75" s="123">
        <f t="shared" si="12"/>
        <v>2</v>
      </c>
      <c r="P75" s="129">
        <f t="shared" si="13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113</v>
      </c>
      <c r="F76" s="128"/>
      <c r="G76" s="129" t="s">
        <v>74</v>
      </c>
      <c r="H76" s="122" t="str">
        <f t="shared" si="14"/>
        <v>-</v>
      </c>
      <c r="I76" s="122" t="str">
        <f t="shared" si="14"/>
        <v>-</v>
      </c>
      <c r="J76" s="122" t="str">
        <f t="shared" si="14"/>
        <v>-</v>
      </c>
      <c r="K76" s="122" t="str">
        <f t="shared" si="14"/>
        <v>-</v>
      </c>
      <c r="L76" s="123" t="str">
        <f t="shared" si="12"/>
        <v>-</v>
      </c>
      <c r="P76" s="129">
        <f t="shared" si="13"/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206" t="s">
        <v>654</v>
      </c>
      <c r="G77" s="134" t="s">
        <v>74</v>
      </c>
      <c r="H77" s="137">
        <v>0</v>
      </c>
      <c r="I77" s="137">
        <v>0</v>
      </c>
      <c r="J77" s="137">
        <f t="shared" si="14"/>
        <v>0</v>
      </c>
      <c r="K77" s="137">
        <f t="shared" si="14"/>
        <v>0</v>
      </c>
      <c r="L77" s="138">
        <v>1</v>
      </c>
      <c r="P77" s="134">
        <f t="shared" ref="P77:P87" si="15">IFERROR(N77+O77,"-")</f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655</v>
      </c>
      <c r="G78" s="129" t="s">
        <v>74</v>
      </c>
      <c r="H78" s="122">
        <v>1</v>
      </c>
      <c r="I78" s="122">
        <v>1</v>
      </c>
      <c r="J78" s="122">
        <f t="shared" si="14"/>
        <v>0</v>
      </c>
      <c r="K78" s="122">
        <f t="shared" si="14"/>
        <v>0</v>
      </c>
      <c r="L78" s="123">
        <f t="shared" si="12"/>
        <v>2</v>
      </c>
      <c r="P78" s="129">
        <f t="shared" si="15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656</v>
      </c>
      <c r="G79" s="129" t="s">
        <v>74</v>
      </c>
      <c r="H79" s="122">
        <v>1</v>
      </c>
      <c r="I79" s="122">
        <v>1</v>
      </c>
      <c r="J79" s="122">
        <f t="shared" si="14"/>
        <v>0</v>
      </c>
      <c r="K79" s="122">
        <f t="shared" si="14"/>
        <v>0</v>
      </c>
      <c r="L79" s="123">
        <f t="shared" si="12"/>
        <v>2</v>
      </c>
      <c r="P79" s="129">
        <f t="shared" si="15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646</v>
      </c>
      <c r="G80" s="134" t="s">
        <v>74</v>
      </c>
      <c r="H80" s="137">
        <v>1</v>
      </c>
      <c r="I80" s="137">
        <v>1</v>
      </c>
      <c r="J80" s="137">
        <f t="shared" si="14"/>
        <v>0</v>
      </c>
      <c r="K80" s="137">
        <f t="shared" si="14"/>
        <v>0</v>
      </c>
      <c r="L80" s="138">
        <f t="shared" si="12"/>
        <v>2</v>
      </c>
      <c r="P80" s="134">
        <f t="shared" si="15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657</v>
      </c>
      <c r="G81" s="129" t="s">
        <v>74</v>
      </c>
      <c r="H81" s="122">
        <v>1</v>
      </c>
      <c r="I81" s="122">
        <v>1</v>
      </c>
      <c r="J81" s="122">
        <f t="shared" si="14"/>
        <v>0</v>
      </c>
      <c r="K81" s="122">
        <f t="shared" si="14"/>
        <v>0</v>
      </c>
      <c r="L81" s="123">
        <f t="shared" si="12"/>
        <v>2</v>
      </c>
      <c r="P81" s="129">
        <f t="shared" si="15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14"/>
        <v>0</v>
      </c>
      <c r="I82" s="122">
        <v>1</v>
      </c>
      <c r="J82" s="122">
        <f t="shared" si="14"/>
        <v>0</v>
      </c>
      <c r="K82" s="122">
        <f t="shared" si="14"/>
        <v>0</v>
      </c>
      <c r="L82" s="123">
        <f t="shared" si="12"/>
        <v>1</v>
      </c>
      <c r="P82" s="129">
        <f t="shared" si="15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646</v>
      </c>
      <c r="G83" s="134" t="s">
        <v>74</v>
      </c>
      <c r="H83" s="137">
        <v>1</v>
      </c>
      <c r="I83" s="137">
        <v>1</v>
      </c>
      <c r="J83" s="137">
        <f t="shared" si="14"/>
        <v>0</v>
      </c>
      <c r="K83" s="137">
        <f t="shared" si="14"/>
        <v>0</v>
      </c>
      <c r="L83" s="138">
        <f t="shared" si="12"/>
        <v>2</v>
      </c>
      <c r="P83" s="134">
        <f t="shared" si="15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4"/>
        <v>0</v>
      </c>
      <c r="I84" s="137">
        <f t="shared" si="14"/>
        <v>0</v>
      </c>
      <c r="J84" s="137">
        <f t="shared" si="14"/>
        <v>0</v>
      </c>
      <c r="K84" s="137">
        <f t="shared" si="14"/>
        <v>0</v>
      </c>
      <c r="L84" s="138">
        <v>1</v>
      </c>
      <c r="P84" s="134">
        <f t="shared" si="15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55" t="s">
        <v>481</v>
      </c>
      <c r="G85" s="155" t="s">
        <v>74</v>
      </c>
      <c r="H85" s="156">
        <f t="shared" si="14"/>
        <v>0</v>
      </c>
      <c r="I85" s="156">
        <f t="shared" si="14"/>
        <v>0</v>
      </c>
      <c r="J85" s="156">
        <f t="shared" si="14"/>
        <v>0</v>
      </c>
      <c r="K85" s="156">
        <f t="shared" si="14"/>
        <v>0</v>
      </c>
      <c r="L85" s="138">
        <v>1</v>
      </c>
      <c r="P85" s="155">
        <f t="shared" si="15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658</v>
      </c>
      <c r="G86" s="155" t="s">
        <v>74</v>
      </c>
      <c r="H86" s="155">
        <f t="shared" si="14"/>
        <v>0</v>
      </c>
      <c r="I86" s="155">
        <f t="shared" si="14"/>
        <v>0</v>
      </c>
      <c r="J86" s="155">
        <f t="shared" si="14"/>
        <v>0</v>
      </c>
      <c r="K86" s="155">
        <f t="shared" si="14"/>
        <v>0</v>
      </c>
      <c r="L86" s="160">
        <v>1</v>
      </c>
      <c r="M86" s="155"/>
      <c r="N86" s="155"/>
      <c r="O86" s="155"/>
      <c r="P86" s="155">
        <f t="shared" si="15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5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113</v>
      </c>
      <c r="F94" s="223"/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B104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6:E23 E26:E27">
    <cfRule type="cellIs" dxfId="212" priority="57" operator="equal">
      <formula>"ne"</formula>
    </cfRule>
  </conditionalFormatting>
  <conditionalFormatting sqref="E29:E43">
    <cfRule type="cellIs" dxfId="211" priority="26" operator="equal">
      <formula>"ne"</formula>
    </cfRule>
  </conditionalFormatting>
  <conditionalFormatting sqref="E45:E67">
    <cfRule type="cellIs" dxfId="210" priority="69" operator="equal">
      <formula>"ne"</formula>
    </cfRule>
  </conditionalFormatting>
  <conditionalFormatting sqref="E69 E71:E91">
    <cfRule type="cellIs" dxfId="209" priority="31" operator="equal">
      <formula>"ne"</formula>
    </cfRule>
  </conditionalFormatting>
  <conditionalFormatting sqref="E96">
    <cfRule type="cellIs" dxfId="208" priority="34" operator="equal">
      <formula>"ne"</formula>
    </cfRule>
  </conditionalFormatting>
  <conditionalFormatting sqref="H3:K5">
    <cfRule type="cellIs" dxfId="207" priority="70" operator="between">
      <formula>0.0001</formula>
      <formula>10000</formula>
    </cfRule>
  </conditionalFormatting>
  <conditionalFormatting sqref="H3:K23 H26:K27">
    <cfRule type="cellIs" dxfId="206" priority="55" operator="equal">
      <formula>"-"</formula>
    </cfRule>
  </conditionalFormatting>
  <conditionalFormatting sqref="H6:K8">
    <cfRule type="cellIs" dxfId="205" priority="77" operator="between">
      <formula>0.0001</formula>
      <formula>1000</formula>
    </cfRule>
  </conditionalFormatting>
  <conditionalFormatting sqref="H45:K67 H9:K23">
    <cfRule type="cellIs" dxfId="204" priority="91" operator="between">
      <formula>0.0001</formula>
      <formula>10000</formula>
    </cfRule>
  </conditionalFormatting>
  <conditionalFormatting sqref="H26:K27">
    <cfRule type="cellIs" dxfId="203" priority="54" operator="between">
      <formula>0.0001</formula>
      <formula>1000</formula>
    </cfRule>
  </conditionalFormatting>
  <conditionalFormatting sqref="H29:K41">
    <cfRule type="cellIs" dxfId="202" priority="25" operator="between">
      <formula>0.0001</formula>
      <formula>10000</formula>
    </cfRule>
  </conditionalFormatting>
  <conditionalFormatting sqref="H29:K43">
    <cfRule type="cellIs" dxfId="201" priority="23" operator="equal">
      <formula>"-"</formula>
    </cfRule>
  </conditionalFormatting>
  <conditionalFormatting sqref="H42:K43">
    <cfRule type="cellIs" dxfId="200" priority="47" operator="between">
      <formula>0.0001</formula>
      <formula>1000</formula>
    </cfRule>
  </conditionalFormatting>
  <conditionalFormatting sqref="H45:K67">
    <cfRule type="cellIs" dxfId="199" priority="71" operator="equal">
      <formula>"-"</formula>
    </cfRule>
  </conditionalFormatting>
  <conditionalFormatting sqref="H69:K69 H71:K90">
    <cfRule type="cellIs" dxfId="198" priority="27" operator="between">
      <formula>0.0001</formula>
      <formula>1000</formula>
    </cfRule>
    <cfRule type="cellIs" dxfId="197" priority="28" operator="equal">
      <formula>"-"</formula>
    </cfRule>
  </conditionalFormatting>
  <conditionalFormatting sqref="H96:K96">
    <cfRule type="cellIs" dxfId="196" priority="32" operator="between">
      <formula>0.0001</formula>
      <formula>1000</formula>
    </cfRule>
    <cfRule type="cellIs" dxfId="195" priority="33" operator="equal">
      <formula>"-"</formula>
    </cfRule>
  </conditionalFormatting>
  <conditionalFormatting sqref="J68">
    <cfRule type="cellIs" dxfId="194" priority="67" operator="equal">
      <formula>"-"</formula>
    </cfRule>
    <cfRule type="cellIs" dxfId="193" priority="68" operator="between">
      <formula>0.0001</formula>
      <formula>10000</formula>
    </cfRule>
  </conditionalFormatting>
  <conditionalFormatting sqref="L3:L11 L13:L23 L26">
    <cfRule type="cellIs" dxfId="192" priority="79" operator="equal">
      <formula>0</formula>
    </cfRule>
  </conditionalFormatting>
  <conditionalFormatting sqref="L29:L42">
    <cfRule type="cellIs" dxfId="191" priority="24" operator="equal">
      <formula>0</formula>
    </cfRule>
  </conditionalFormatting>
  <conditionalFormatting sqref="L45:L69 L71:L88">
    <cfRule type="cellIs" dxfId="190" priority="43" operator="equal">
      <formula>0</formula>
    </cfRule>
  </conditionalFormatting>
  <conditionalFormatting sqref="E70">
    <cfRule type="cellIs" dxfId="189" priority="22" operator="equal">
      <formula>"ne"</formula>
    </cfRule>
  </conditionalFormatting>
  <conditionalFormatting sqref="H70:K70">
    <cfRule type="cellIs" dxfId="188" priority="20" operator="between">
      <formula>0.0001</formula>
      <formula>1000</formula>
    </cfRule>
    <cfRule type="cellIs" dxfId="187" priority="21" operator="equal">
      <formula>"-"</formula>
    </cfRule>
  </conditionalFormatting>
  <conditionalFormatting sqref="L70">
    <cfRule type="cellIs" dxfId="186" priority="19" operator="equal">
      <formula>0</formula>
    </cfRule>
  </conditionalFormatting>
  <conditionalFormatting sqref="E25">
    <cfRule type="cellIs" dxfId="185" priority="10" operator="equal">
      <formula>"ne"</formula>
    </cfRule>
  </conditionalFormatting>
  <conditionalFormatting sqref="H25:K25">
    <cfRule type="cellIs" dxfId="184" priority="8" operator="equal">
      <formula>"-"</formula>
    </cfRule>
  </conditionalFormatting>
  <conditionalFormatting sqref="H25:K25">
    <cfRule type="cellIs" dxfId="183" priority="11" operator="between">
      <formula>0.0001</formula>
      <formula>1000</formula>
    </cfRule>
  </conditionalFormatting>
  <conditionalFormatting sqref="L25">
    <cfRule type="cellIs" dxfId="182" priority="9" operator="equal">
      <formula>0</formula>
    </cfRule>
  </conditionalFormatting>
  <conditionalFormatting sqref="E24:E25">
    <cfRule type="cellIs" dxfId="181" priority="7" operator="equal">
      <formula>"ne"</formula>
    </cfRule>
  </conditionalFormatting>
  <conditionalFormatting sqref="H24:K25">
    <cfRule type="cellIs" dxfId="180" priority="5" operator="between">
      <formula>0.0001</formula>
      <formula>1000</formula>
    </cfRule>
    <cfRule type="cellIs" dxfId="179" priority="6" operator="equal">
      <formula>"-"</formula>
    </cfRule>
  </conditionalFormatting>
  <conditionalFormatting sqref="L24:L25">
    <cfRule type="cellIs" dxfId="178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24580-D9FB-449F-A456-CCF513CC6499}">
  <sheetPr>
    <tabColor theme="9" tint="0.39997558519241921"/>
  </sheetPr>
  <dimension ref="A1:Q105"/>
  <sheetViews>
    <sheetView zoomScale="85" zoomScaleNormal="85" workbookViewId="0">
      <pane ySplit="2" topLeftCell="A3" activePane="bottomLeft" state="frozen"/>
      <selection activeCell="C101" sqref="C101"/>
      <selection pane="bottomLeft" activeCell="C101" sqref="C101"/>
    </sheetView>
  </sheetViews>
  <sheetFormatPr defaultColWidth="9.140625" defaultRowHeight="14.25" x14ac:dyDescent="0.25"/>
  <cols>
    <col min="1" max="1" width="11.140625" style="129" customWidth="1"/>
    <col min="2" max="2" width="8.28515625" style="119" customWidth="1"/>
    <col min="3" max="3" width="45.7109375" style="129" customWidth="1"/>
    <col min="4" max="4" width="36.28515625" style="129" customWidth="1"/>
    <col min="5" max="5" width="10.28515625" style="121" customWidth="1"/>
    <col min="6" max="6" width="46.7109375" style="129" bestFit="1" customWidth="1"/>
    <col min="7" max="7" width="9.140625" style="129"/>
    <col min="8" max="12" width="8.5703125" style="129" customWidth="1"/>
    <col min="13" max="13" width="16.28515625" style="129" bestFit="1" customWidth="1"/>
    <col min="14" max="14" width="12.42578125" style="129" bestFit="1" customWidth="1"/>
    <col min="15" max="16" width="12.42578125" style="129" customWidth="1"/>
    <col min="17" max="17" width="46.85546875" style="129" customWidth="1"/>
    <col min="18" max="16373" width="9.140625" style="129"/>
    <col min="16374" max="16376" width="9.140625" style="129" bestFit="1"/>
    <col min="16377" max="16384" width="9.140625" style="129"/>
  </cols>
  <sheetData>
    <row r="1" spans="1:17" x14ac:dyDescent="0.25">
      <c r="A1" s="113" t="s">
        <v>42</v>
      </c>
      <c r="B1" s="113" t="s">
        <v>43</v>
      </c>
      <c r="C1" s="114" t="s">
        <v>44</v>
      </c>
      <c r="D1" s="114" t="s">
        <v>400</v>
      </c>
      <c r="E1" s="113" t="s">
        <v>278</v>
      </c>
      <c r="F1" s="114" t="s">
        <v>47</v>
      </c>
      <c r="G1" s="113" t="s">
        <v>48</v>
      </c>
      <c r="H1" s="363" t="s">
        <v>93</v>
      </c>
      <c r="I1" s="363"/>
      <c r="J1" s="363"/>
      <c r="K1" s="363"/>
      <c r="L1" s="363"/>
      <c r="M1" s="113" t="s">
        <v>50</v>
      </c>
      <c r="N1" s="113" t="s">
        <v>51</v>
      </c>
      <c r="O1" s="113" t="s">
        <v>52</v>
      </c>
      <c r="P1" s="113" t="s">
        <v>53</v>
      </c>
      <c r="Q1" s="113" t="s">
        <v>54</v>
      </c>
    </row>
    <row r="2" spans="1:17" s="115" customFormat="1" ht="16.5" thickBot="1" x14ac:dyDescent="0.3">
      <c r="A2" s="115" t="s">
        <v>55</v>
      </c>
      <c r="B2" s="116"/>
      <c r="E2" s="115" t="s">
        <v>56</v>
      </c>
      <c r="G2" s="115" t="s">
        <v>406</v>
      </c>
      <c r="H2" s="115" t="s">
        <v>94</v>
      </c>
      <c r="I2" s="115" t="s">
        <v>95</v>
      </c>
      <c r="J2" s="115" t="s">
        <v>96</v>
      </c>
      <c r="K2" s="115" t="s">
        <v>97</v>
      </c>
      <c r="L2" s="117" t="s">
        <v>98</v>
      </c>
      <c r="M2" s="115" t="s">
        <v>57</v>
      </c>
      <c r="N2" s="115" t="s">
        <v>57</v>
      </c>
      <c r="O2" s="115" t="s">
        <v>57</v>
      </c>
      <c r="P2" s="115" t="s">
        <v>57</v>
      </c>
    </row>
    <row r="3" spans="1:17" s="121" customFormat="1" x14ac:dyDescent="0.25">
      <c r="A3" s="118" t="s">
        <v>99</v>
      </c>
      <c r="B3" s="119" t="s">
        <v>100</v>
      </c>
      <c r="C3" s="120" t="s">
        <v>101</v>
      </c>
      <c r="D3" s="119" t="s">
        <v>102</v>
      </c>
      <c r="E3" s="121" t="s">
        <v>62</v>
      </c>
      <c r="F3" s="131" t="s">
        <v>559</v>
      </c>
      <c r="G3" s="119" t="s">
        <v>103</v>
      </c>
      <c r="H3" s="122">
        <f>11*2</f>
        <v>22</v>
      </c>
      <c r="I3" s="122">
        <v>60</v>
      </c>
      <c r="J3" s="122">
        <f>IF($E3="ne","-",)</f>
        <v>0</v>
      </c>
      <c r="K3" s="122">
        <f>275+196+169</f>
        <v>640</v>
      </c>
      <c r="L3" s="123">
        <f t="shared" ref="L3" si="0">IF($E3="ne","-",H3+I3+J3+K3)</f>
        <v>722</v>
      </c>
      <c r="M3" s="124"/>
      <c r="N3" s="124"/>
      <c r="O3" s="124"/>
      <c r="P3" s="124">
        <f t="shared" ref="P3:P75" si="1">IFERROR(N3+O3,"-")</f>
        <v>0</v>
      </c>
    </row>
    <row r="4" spans="1:17" x14ac:dyDescent="0.25">
      <c r="A4" s="125" t="s">
        <v>99</v>
      </c>
      <c r="B4" s="126" t="s">
        <v>104</v>
      </c>
      <c r="C4" s="127" t="s">
        <v>101</v>
      </c>
      <c r="D4" s="119" t="s">
        <v>105</v>
      </c>
      <c r="E4" s="121" t="s">
        <v>62</v>
      </c>
      <c r="F4" s="131" t="s">
        <v>560</v>
      </c>
      <c r="G4" s="129" t="s">
        <v>103</v>
      </c>
      <c r="H4" s="122">
        <v>20</v>
      </c>
      <c r="I4" s="122">
        <f>10+5+9+60</f>
        <v>84</v>
      </c>
      <c r="J4" s="122"/>
      <c r="K4" s="122">
        <f>IF($E4="ne","-",)</f>
        <v>0</v>
      </c>
      <c r="L4" s="123">
        <f t="shared" ref="L4:L21" si="2">IF($E4="ne","-",H4+I4+J4+K4)</f>
        <v>104</v>
      </c>
      <c r="M4" s="278"/>
      <c r="N4" s="124"/>
      <c r="O4" s="124"/>
      <c r="P4" s="124">
        <f t="shared" si="1"/>
        <v>0</v>
      </c>
      <c r="Q4" s="129" t="s">
        <v>306</v>
      </c>
    </row>
    <row r="5" spans="1:17" x14ac:dyDescent="0.25">
      <c r="A5" s="125" t="s">
        <v>99</v>
      </c>
      <c r="B5" s="126" t="s">
        <v>106</v>
      </c>
      <c r="C5" s="129" t="s">
        <v>101</v>
      </c>
      <c r="D5" s="119" t="s">
        <v>107</v>
      </c>
      <c r="E5" s="121" t="s">
        <v>113</v>
      </c>
      <c r="F5" s="131"/>
      <c r="G5" s="129" t="s">
        <v>103</v>
      </c>
      <c r="H5" s="122" t="str">
        <f t="shared" ref="H5:K18" si="3">IF($E5="ne","-",)</f>
        <v>-</v>
      </c>
      <c r="I5" s="122" t="str">
        <f t="shared" si="3"/>
        <v>-</v>
      </c>
      <c r="J5" s="122" t="str">
        <f t="shared" si="3"/>
        <v>-</v>
      </c>
      <c r="K5" s="122" t="str">
        <f t="shared" si="3"/>
        <v>-</v>
      </c>
      <c r="L5" s="123" t="str">
        <f t="shared" si="2"/>
        <v>-</v>
      </c>
      <c r="M5" s="130"/>
      <c r="N5" s="124"/>
      <c r="O5" s="124"/>
      <c r="P5" s="124">
        <f t="shared" si="1"/>
        <v>0</v>
      </c>
    </row>
    <row r="6" spans="1:17" x14ac:dyDescent="0.25">
      <c r="A6" s="125" t="s">
        <v>99</v>
      </c>
      <c r="B6" s="126" t="s">
        <v>106</v>
      </c>
      <c r="C6" s="129" t="s">
        <v>101</v>
      </c>
      <c r="D6" s="119" t="s">
        <v>109</v>
      </c>
      <c r="E6" s="121" t="s">
        <v>113</v>
      </c>
      <c r="F6" s="128"/>
      <c r="G6" s="129" t="s">
        <v>103</v>
      </c>
      <c r="H6" s="122">
        <v>0</v>
      </c>
      <c r="I6" s="122" t="str">
        <f t="shared" si="3"/>
        <v>-</v>
      </c>
      <c r="J6" s="122" t="str">
        <f t="shared" si="3"/>
        <v>-</v>
      </c>
      <c r="K6" s="122" t="str">
        <f t="shared" si="3"/>
        <v>-</v>
      </c>
      <c r="L6" s="123" t="str">
        <f t="shared" si="2"/>
        <v>-</v>
      </c>
      <c r="M6" s="130"/>
      <c r="N6" s="130"/>
      <c r="O6" s="130"/>
      <c r="P6" s="130">
        <f t="shared" si="1"/>
        <v>0</v>
      </c>
    </row>
    <row r="7" spans="1:17" x14ac:dyDescent="0.25">
      <c r="A7" s="125" t="s">
        <v>99</v>
      </c>
      <c r="B7" s="126" t="s">
        <v>106</v>
      </c>
      <c r="C7" s="129" t="s">
        <v>101</v>
      </c>
      <c r="D7" s="119" t="s">
        <v>110</v>
      </c>
      <c r="E7" s="121" t="s">
        <v>62</v>
      </c>
      <c r="F7" s="131" t="s">
        <v>561</v>
      </c>
      <c r="G7" s="129" t="s">
        <v>103</v>
      </c>
      <c r="H7" s="122">
        <f>(182+12+94)+124+67+195+5+(73+67)</f>
        <v>819</v>
      </c>
      <c r="I7" s="122">
        <f t="shared" si="3"/>
        <v>0</v>
      </c>
      <c r="J7" s="122">
        <f t="shared" si="3"/>
        <v>0</v>
      </c>
      <c r="K7" s="122">
        <f t="shared" si="3"/>
        <v>0</v>
      </c>
      <c r="L7" s="123">
        <f t="shared" si="2"/>
        <v>819</v>
      </c>
      <c r="M7" s="278"/>
      <c r="N7" s="130"/>
      <c r="O7" s="130"/>
      <c r="P7" s="130">
        <f t="shared" si="1"/>
        <v>0</v>
      </c>
      <c r="Q7" s="129" t="s">
        <v>307</v>
      </c>
    </row>
    <row r="8" spans="1:17" x14ac:dyDescent="0.25">
      <c r="A8" s="125" t="s">
        <v>99</v>
      </c>
      <c r="B8" s="126" t="s">
        <v>106</v>
      </c>
      <c r="C8" s="129" t="s">
        <v>101</v>
      </c>
      <c r="D8" s="119" t="s">
        <v>112</v>
      </c>
      <c r="E8" s="121" t="s">
        <v>62</v>
      </c>
      <c r="F8" s="131" t="s">
        <v>562</v>
      </c>
      <c r="G8" s="129" t="s">
        <v>103</v>
      </c>
      <c r="H8" s="122">
        <f>92+125</f>
        <v>217</v>
      </c>
      <c r="I8" s="122">
        <f t="shared" si="3"/>
        <v>0</v>
      </c>
      <c r="J8" s="122">
        <f t="shared" si="3"/>
        <v>0</v>
      </c>
      <c r="K8" s="122">
        <v>51</v>
      </c>
      <c r="L8" s="123">
        <f t="shared" si="2"/>
        <v>268</v>
      </c>
      <c r="M8" s="130"/>
      <c r="N8" s="130"/>
      <c r="O8" s="130"/>
      <c r="P8" s="130">
        <f t="shared" si="1"/>
        <v>0</v>
      </c>
    </row>
    <row r="9" spans="1:17" x14ac:dyDescent="0.25">
      <c r="A9" s="125" t="s">
        <v>99</v>
      </c>
      <c r="B9" s="126" t="s">
        <v>114</v>
      </c>
      <c r="C9" s="129" t="s">
        <v>101</v>
      </c>
      <c r="D9" s="119" t="s">
        <v>115</v>
      </c>
      <c r="E9" s="121" t="s">
        <v>113</v>
      </c>
      <c r="G9" s="129" t="s">
        <v>103</v>
      </c>
      <c r="H9" s="122" t="str">
        <f t="shared" ref="H9:H15" si="4">IF($E9="ne","-",)</f>
        <v>-</v>
      </c>
      <c r="I9" s="122" t="str">
        <f t="shared" si="3"/>
        <v>-</v>
      </c>
      <c r="J9" s="122" t="str">
        <f t="shared" si="3"/>
        <v>-</v>
      </c>
      <c r="K9" s="122" t="str">
        <f t="shared" si="3"/>
        <v>-</v>
      </c>
      <c r="L9" s="123" t="str">
        <f t="shared" si="2"/>
        <v>-</v>
      </c>
      <c r="M9" s="130"/>
      <c r="N9" s="130"/>
      <c r="O9" s="130"/>
      <c r="P9" s="130">
        <f t="shared" si="1"/>
        <v>0</v>
      </c>
    </row>
    <row r="10" spans="1:17" x14ac:dyDescent="0.25">
      <c r="A10" s="125" t="s">
        <v>99</v>
      </c>
      <c r="B10" s="126" t="s">
        <v>116</v>
      </c>
      <c r="C10" s="129" t="s">
        <v>101</v>
      </c>
      <c r="D10" s="119" t="s">
        <v>117</v>
      </c>
      <c r="E10" s="121" t="s">
        <v>113</v>
      </c>
      <c r="F10" s="128"/>
      <c r="G10" s="129" t="s">
        <v>103</v>
      </c>
      <c r="H10" s="122" t="str">
        <f t="shared" si="4"/>
        <v>-</v>
      </c>
      <c r="I10" s="122" t="str">
        <f t="shared" si="3"/>
        <v>-</v>
      </c>
      <c r="J10" s="122" t="str">
        <f t="shared" si="3"/>
        <v>-</v>
      </c>
      <c r="K10" s="122" t="str">
        <f t="shared" si="3"/>
        <v>-</v>
      </c>
      <c r="L10" s="123" t="str">
        <f t="shared" si="2"/>
        <v>-</v>
      </c>
      <c r="M10" s="130"/>
      <c r="N10" s="130"/>
      <c r="O10" s="130"/>
      <c r="P10" s="130">
        <f t="shared" si="1"/>
        <v>0</v>
      </c>
    </row>
    <row r="11" spans="1:17" x14ac:dyDescent="0.25">
      <c r="A11" s="125" t="s">
        <v>99</v>
      </c>
      <c r="B11" s="126" t="s">
        <v>118</v>
      </c>
      <c r="C11" s="129" t="s">
        <v>101</v>
      </c>
      <c r="D11" s="119" t="s">
        <v>119</v>
      </c>
      <c r="E11" s="121" t="s">
        <v>62</v>
      </c>
      <c r="F11" s="131" t="s">
        <v>563</v>
      </c>
      <c r="G11" s="129" t="s">
        <v>103</v>
      </c>
      <c r="H11" s="122">
        <f>10</f>
        <v>10</v>
      </c>
      <c r="I11" s="122">
        <f t="shared" si="3"/>
        <v>0</v>
      </c>
      <c r="J11" s="122">
        <f t="shared" si="3"/>
        <v>0</v>
      </c>
      <c r="K11" s="122">
        <v>192</v>
      </c>
      <c r="L11" s="123">
        <f t="shared" si="2"/>
        <v>202</v>
      </c>
      <c r="M11" s="130"/>
      <c r="N11" s="130"/>
      <c r="O11" s="130"/>
      <c r="P11" s="130">
        <f t="shared" si="1"/>
        <v>0</v>
      </c>
      <c r="Q11" s="129" t="s">
        <v>405</v>
      </c>
    </row>
    <row r="12" spans="1:17" x14ac:dyDescent="0.25">
      <c r="A12" s="125" t="s">
        <v>99</v>
      </c>
      <c r="B12" s="126" t="s">
        <v>120</v>
      </c>
      <c r="C12" s="129" t="s">
        <v>101</v>
      </c>
      <c r="D12" s="119" t="s">
        <v>121</v>
      </c>
      <c r="E12" s="121" t="s">
        <v>113</v>
      </c>
      <c r="G12" s="129" t="s">
        <v>74</v>
      </c>
      <c r="H12" s="122" t="str">
        <f t="shared" si="4"/>
        <v>-</v>
      </c>
      <c r="I12" s="122" t="str">
        <f t="shared" si="3"/>
        <v>-</v>
      </c>
      <c r="J12" s="122" t="str">
        <f t="shared" si="3"/>
        <v>-</v>
      </c>
      <c r="K12" s="122" t="str">
        <f t="shared" si="3"/>
        <v>-</v>
      </c>
      <c r="L12" s="123" t="str">
        <f t="shared" si="2"/>
        <v>-</v>
      </c>
      <c r="M12" s="130"/>
      <c r="N12" s="130"/>
      <c r="O12" s="130"/>
      <c r="P12" s="130">
        <f t="shared" si="1"/>
        <v>0</v>
      </c>
    </row>
    <row r="13" spans="1:17" x14ac:dyDescent="0.25">
      <c r="A13" s="125" t="s">
        <v>99</v>
      </c>
      <c r="B13" s="126" t="s">
        <v>122</v>
      </c>
      <c r="C13" s="129" t="s">
        <v>101</v>
      </c>
      <c r="D13" s="119" t="s">
        <v>123</v>
      </c>
      <c r="E13" s="121" t="s">
        <v>62</v>
      </c>
      <c r="F13" s="131" t="s">
        <v>564</v>
      </c>
      <c r="G13" s="129" t="s">
        <v>74</v>
      </c>
      <c r="H13" s="122">
        <f t="shared" si="4"/>
        <v>0</v>
      </c>
      <c r="I13" s="122">
        <f t="shared" si="3"/>
        <v>0</v>
      </c>
      <c r="J13" s="122">
        <f t="shared" si="3"/>
        <v>0</v>
      </c>
      <c r="K13" s="122">
        <f t="shared" si="3"/>
        <v>0</v>
      </c>
      <c r="L13" s="123">
        <v>1</v>
      </c>
      <c r="M13" s="130"/>
      <c r="N13" s="130"/>
      <c r="O13" s="130"/>
      <c r="P13" s="130">
        <f t="shared" si="1"/>
        <v>0</v>
      </c>
    </row>
    <row r="14" spans="1:17" x14ac:dyDescent="0.25">
      <c r="A14" s="125" t="s">
        <v>99</v>
      </c>
      <c r="B14" s="126" t="s">
        <v>124</v>
      </c>
      <c r="C14" s="129" t="s">
        <v>101</v>
      </c>
      <c r="D14" s="119" t="s">
        <v>125</v>
      </c>
      <c r="E14" s="121" t="s">
        <v>113</v>
      </c>
      <c r="G14" s="129" t="s">
        <v>103</v>
      </c>
      <c r="H14" s="122" t="str">
        <f t="shared" si="4"/>
        <v>-</v>
      </c>
      <c r="I14" s="122" t="str">
        <f t="shared" si="3"/>
        <v>-</v>
      </c>
      <c r="J14" s="122" t="str">
        <f t="shared" si="3"/>
        <v>-</v>
      </c>
      <c r="K14" s="122" t="str">
        <f t="shared" si="3"/>
        <v>-</v>
      </c>
      <c r="L14" s="123" t="str">
        <f t="shared" si="2"/>
        <v>-</v>
      </c>
      <c r="M14" s="130"/>
      <c r="N14" s="130"/>
      <c r="O14" s="130"/>
      <c r="P14" s="130">
        <f t="shared" si="1"/>
        <v>0</v>
      </c>
    </row>
    <row r="15" spans="1:17" x14ac:dyDescent="0.25">
      <c r="A15" s="125" t="s">
        <v>99</v>
      </c>
      <c r="B15" s="126" t="s">
        <v>126</v>
      </c>
      <c r="C15" s="129" t="s">
        <v>101</v>
      </c>
      <c r="D15" s="119" t="s">
        <v>127</v>
      </c>
      <c r="E15" s="121" t="s">
        <v>113</v>
      </c>
      <c r="G15" s="129" t="s">
        <v>103</v>
      </c>
      <c r="H15" s="122" t="str">
        <f t="shared" si="4"/>
        <v>-</v>
      </c>
      <c r="I15" s="122" t="str">
        <f t="shared" si="3"/>
        <v>-</v>
      </c>
      <c r="J15" s="122" t="str">
        <f t="shared" si="3"/>
        <v>-</v>
      </c>
      <c r="K15" s="122" t="str">
        <f t="shared" si="3"/>
        <v>-</v>
      </c>
      <c r="L15" s="123" t="str">
        <f t="shared" si="2"/>
        <v>-</v>
      </c>
      <c r="M15" s="130"/>
      <c r="N15" s="130"/>
      <c r="O15" s="130"/>
      <c r="P15" s="130">
        <f t="shared" si="1"/>
        <v>0</v>
      </c>
    </row>
    <row r="16" spans="1:17" s="134" customFormat="1" x14ac:dyDescent="0.25">
      <c r="A16" s="132" t="s">
        <v>99</v>
      </c>
      <c r="B16" s="133" t="s">
        <v>128</v>
      </c>
      <c r="C16" s="134" t="s">
        <v>101</v>
      </c>
      <c r="D16" s="135" t="s">
        <v>129</v>
      </c>
      <c r="E16" s="136" t="s">
        <v>62</v>
      </c>
      <c r="F16" s="131" t="s">
        <v>565</v>
      </c>
      <c r="G16" s="134" t="s">
        <v>63</v>
      </c>
      <c r="H16" s="137">
        <v>1</v>
      </c>
      <c r="I16" s="137">
        <f t="shared" si="3"/>
        <v>0</v>
      </c>
      <c r="J16" s="137">
        <f t="shared" si="3"/>
        <v>0</v>
      </c>
      <c r="K16" s="137">
        <f t="shared" si="3"/>
        <v>0</v>
      </c>
      <c r="L16" s="138">
        <f t="shared" si="2"/>
        <v>1</v>
      </c>
      <c r="M16" s="139"/>
      <c r="N16" s="139"/>
      <c r="O16" s="139"/>
      <c r="P16" s="139">
        <f t="shared" si="1"/>
        <v>0</v>
      </c>
      <c r="Q16" s="134" t="s">
        <v>308</v>
      </c>
    </row>
    <row r="17" spans="1:17" s="146" customFormat="1" x14ac:dyDescent="0.25">
      <c r="A17" s="140" t="s">
        <v>99</v>
      </c>
      <c r="B17" s="141" t="s">
        <v>130</v>
      </c>
      <c r="C17" s="142" t="s">
        <v>131</v>
      </c>
      <c r="D17" s="143" t="s">
        <v>132</v>
      </c>
      <c r="E17" s="144" t="s">
        <v>113</v>
      </c>
      <c r="F17" s="145"/>
      <c r="G17" s="146" t="s">
        <v>63</v>
      </c>
      <c r="H17" s="122" t="str">
        <f>IF($E17="ne","-",)</f>
        <v>-</v>
      </c>
      <c r="I17" s="122" t="str">
        <f t="shared" si="3"/>
        <v>-</v>
      </c>
      <c r="J17" s="122" t="str">
        <f t="shared" si="3"/>
        <v>-</v>
      </c>
      <c r="K17" s="122" t="str">
        <f t="shared" si="3"/>
        <v>-</v>
      </c>
      <c r="L17" s="123" t="str">
        <f t="shared" si="2"/>
        <v>-</v>
      </c>
      <c r="M17" s="147"/>
      <c r="N17" s="147"/>
      <c r="O17" s="147"/>
      <c r="P17" s="147">
        <f t="shared" si="1"/>
        <v>0</v>
      </c>
    </row>
    <row r="18" spans="1:17" s="134" customFormat="1" x14ac:dyDescent="0.25">
      <c r="A18" s="132" t="s">
        <v>99</v>
      </c>
      <c r="B18" s="133" t="s">
        <v>133</v>
      </c>
      <c r="C18" s="148" t="s">
        <v>131</v>
      </c>
      <c r="D18" s="135" t="s">
        <v>134</v>
      </c>
      <c r="E18" s="136" t="s">
        <v>62</v>
      </c>
      <c r="F18" s="287" t="s">
        <v>566</v>
      </c>
      <c r="G18" s="134" t="s">
        <v>63</v>
      </c>
      <c r="H18" s="137">
        <v>6</v>
      </c>
      <c r="I18" s="137">
        <f t="shared" si="3"/>
        <v>0</v>
      </c>
      <c r="J18" s="137">
        <f t="shared" si="3"/>
        <v>0</v>
      </c>
      <c r="K18" s="137">
        <f t="shared" si="3"/>
        <v>0</v>
      </c>
      <c r="L18" s="138">
        <f t="shared" si="2"/>
        <v>6</v>
      </c>
      <c r="M18" s="139"/>
      <c r="N18" s="139"/>
      <c r="O18" s="130"/>
      <c r="P18" s="130">
        <f t="shared" si="1"/>
        <v>0</v>
      </c>
      <c r="Q18" s="129"/>
    </row>
    <row r="19" spans="1:17" s="146" customFormat="1" x14ac:dyDescent="0.25">
      <c r="A19" s="140" t="s">
        <v>99</v>
      </c>
      <c r="B19" s="141" t="s">
        <v>135</v>
      </c>
      <c r="C19" s="142" t="s">
        <v>136</v>
      </c>
      <c r="D19" s="143" t="s">
        <v>137</v>
      </c>
      <c r="E19" s="144" t="s">
        <v>62</v>
      </c>
      <c r="F19" s="131" t="s">
        <v>567</v>
      </c>
      <c r="G19" s="146" t="s">
        <v>63</v>
      </c>
      <c r="H19" s="122">
        <f>IF($E19="ne","-",)</f>
        <v>0</v>
      </c>
      <c r="I19" s="122">
        <f>IF($E19="ne","-",)</f>
        <v>0</v>
      </c>
      <c r="J19" s="122">
        <v>0</v>
      </c>
      <c r="K19" s="122">
        <v>1</v>
      </c>
      <c r="L19" s="123">
        <f t="shared" si="2"/>
        <v>1</v>
      </c>
      <c r="M19" s="147"/>
      <c r="N19" s="147"/>
      <c r="O19" s="147"/>
      <c r="P19" s="147">
        <f t="shared" si="1"/>
        <v>0</v>
      </c>
    </row>
    <row r="20" spans="1:17" x14ac:dyDescent="0.25">
      <c r="A20" s="125" t="s">
        <v>99</v>
      </c>
      <c r="B20" s="126" t="s">
        <v>138</v>
      </c>
      <c r="C20" s="127" t="s">
        <v>136</v>
      </c>
      <c r="D20" s="119" t="s">
        <v>139</v>
      </c>
      <c r="E20" s="121" t="s">
        <v>62</v>
      </c>
      <c r="F20" s="131" t="s">
        <v>568</v>
      </c>
      <c r="G20" s="129" t="s">
        <v>74</v>
      </c>
      <c r="H20" s="122">
        <f>IF($E20="ne","-",)</f>
        <v>0</v>
      </c>
      <c r="I20" s="122">
        <v>2</v>
      </c>
      <c r="J20" s="122">
        <v>2</v>
      </c>
      <c r="K20" s="122">
        <v>1</v>
      </c>
      <c r="L20" s="123">
        <v>1</v>
      </c>
      <c r="M20" s="130"/>
      <c r="N20" s="130"/>
      <c r="O20" s="130"/>
      <c r="P20" s="130">
        <f t="shared" si="1"/>
        <v>0</v>
      </c>
    </row>
    <row r="21" spans="1:17" s="134" customFormat="1" x14ac:dyDescent="0.25">
      <c r="A21" s="132" t="s">
        <v>99</v>
      </c>
      <c r="B21" s="133" t="s">
        <v>140</v>
      </c>
      <c r="C21" s="148" t="s">
        <v>136</v>
      </c>
      <c r="D21" s="134" t="s">
        <v>141</v>
      </c>
      <c r="E21" s="136" t="s">
        <v>113</v>
      </c>
      <c r="F21" s="149"/>
      <c r="G21" s="134" t="s">
        <v>63</v>
      </c>
      <c r="H21" s="137" t="str">
        <f>IF($E21="ne","-",)</f>
        <v>-</v>
      </c>
      <c r="I21" s="122" t="str">
        <f>IF($E21="ne","-",)</f>
        <v>-</v>
      </c>
      <c r="J21" s="122" t="str">
        <f>IF($E21="ne","-",)</f>
        <v>-</v>
      </c>
      <c r="K21" s="122" t="str">
        <f t="shared" ref="K21:K41" si="5">IF($E21="ne","-",)</f>
        <v>-</v>
      </c>
      <c r="L21" s="138" t="str">
        <f t="shared" si="2"/>
        <v>-</v>
      </c>
      <c r="M21" s="139"/>
      <c r="N21" s="139"/>
      <c r="O21" s="139"/>
      <c r="P21" s="139">
        <f t="shared" si="1"/>
        <v>0</v>
      </c>
    </row>
    <row r="22" spans="1:17" s="155" customFormat="1" x14ac:dyDescent="0.25">
      <c r="A22" s="150" t="s">
        <v>99</v>
      </c>
      <c r="B22" s="151" t="s">
        <v>142</v>
      </c>
      <c r="C22" s="152" t="s">
        <v>143</v>
      </c>
      <c r="D22" s="152" t="s">
        <v>143</v>
      </c>
      <c r="E22" s="153" t="s">
        <v>62</v>
      </c>
      <c r="F22" s="155" t="s">
        <v>569</v>
      </c>
      <c r="G22" s="155" t="s">
        <v>74</v>
      </c>
      <c r="H22" s="156">
        <f>IF($E22="ne","-",)</f>
        <v>0</v>
      </c>
      <c r="I22" s="156">
        <v>0</v>
      </c>
      <c r="J22" s="156">
        <f>IF($E22="ne","-",)</f>
        <v>0</v>
      </c>
      <c r="K22" s="156">
        <f t="shared" si="5"/>
        <v>0</v>
      </c>
      <c r="L22" s="138">
        <v>1</v>
      </c>
      <c r="M22" s="157"/>
      <c r="N22" s="157"/>
      <c r="O22" s="157"/>
      <c r="P22" s="157">
        <f t="shared" si="1"/>
        <v>0</v>
      </c>
    </row>
    <row r="23" spans="1:17" s="155" customFormat="1" x14ac:dyDescent="0.25">
      <c r="A23" s="150" t="s">
        <v>99</v>
      </c>
      <c r="B23" s="151" t="s">
        <v>146</v>
      </c>
      <c r="C23" s="158" t="s">
        <v>401</v>
      </c>
      <c r="D23" s="158" t="s">
        <v>401</v>
      </c>
      <c r="E23" s="153" t="s">
        <v>62</v>
      </c>
      <c r="F23" s="155" t="s">
        <v>570</v>
      </c>
      <c r="G23" s="155" t="s">
        <v>74</v>
      </c>
      <c r="H23" s="156">
        <f>IF($E23="ne","-",)</f>
        <v>0</v>
      </c>
      <c r="I23" s="156">
        <f t="shared" ref="I23:I48" si="6">IF($E23="ne","-",)</f>
        <v>0</v>
      </c>
      <c r="J23" s="156">
        <f>IF($E23="ne","-",)</f>
        <v>0</v>
      </c>
      <c r="K23" s="156">
        <f t="shared" si="5"/>
        <v>0</v>
      </c>
      <c r="L23" s="138">
        <v>1</v>
      </c>
      <c r="M23" s="157"/>
      <c r="N23" s="157"/>
      <c r="O23" s="157"/>
      <c r="P23" s="157">
        <f t="shared" si="1"/>
        <v>0</v>
      </c>
    </row>
    <row r="24" spans="1:17" s="155" customFormat="1" ht="28.5" x14ac:dyDescent="0.25">
      <c r="A24" s="150" t="s">
        <v>99</v>
      </c>
      <c r="B24" s="151" t="s">
        <v>402</v>
      </c>
      <c r="C24" s="158" t="s">
        <v>403</v>
      </c>
      <c r="D24" s="158" t="s">
        <v>403</v>
      </c>
      <c r="E24" s="153" t="s">
        <v>62</v>
      </c>
      <c r="F24" s="112" t="s">
        <v>404</v>
      </c>
      <c r="G24" s="155" t="s">
        <v>74</v>
      </c>
      <c r="H24" s="156"/>
      <c r="I24" s="156"/>
      <c r="J24" s="156"/>
      <c r="K24" s="156"/>
      <c r="L24" s="138">
        <v>1</v>
      </c>
      <c r="N24" s="157"/>
      <c r="P24" s="155">
        <v>0</v>
      </c>
    </row>
    <row r="25" spans="1:17" s="155" customFormat="1" x14ac:dyDescent="0.25">
      <c r="A25" s="150" t="s">
        <v>99</v>
      </c>
      <c r="B25" s="159" t="s">
        <v>100</v>
      </c>
      <c r="C25" s="155" t="s">
        <v>144</v>
      </c>
      <c r="D25" s="155" t="str">
        <f>C25</f>
        <v>hrazení a čerpání PK</v>
      </c>
      <c r="E25" s="153" t="s">
        <v>62</v>
      </c>
      <c r="G25" s="155" t="s">
        <v>74</v>
      </c>
      <c r="H25" s="155">
        <v>0</v>
      </c>
      <c r="I25" s="155">
        <f>IF($E25="ne","-",)</f>
        <v>0</v>
      </c>
      <c r="J25" s="155">
        <f>IF($E25="ne","-",)</f>
        <v>0</v>
      </c>
      <c r="K25" s="155">
        <f>IF($E25="ne","-",)</f>
        <v>0</v>
      </c>
      <c r="L25" s="160">
        <v>2</v>
      </c>
      <c r="M25" s="157"/>
      <c r="N25" s="157"/>
      <c r="O25" s="157"/>
      <c r="P25" s="157">
        <f>IFERROR(N25+O25,"-")</f>
        <v>0</v>
      </c>
    </row>
    <row r="26" spans="1:17" ht="15" thickBot="1" x14ac:dyDescent="0.3">
      <c r="A26" s="125" t="s">
        <v>99</v>
      </c>
      <c r="C26" s="129" t="s">
        <v>84</v>
      </c>
      <c r="E26" s="121" t="s">
        <v>62</v>
      </c>
      <c r="F26" s="161" t="s">
        <v>280</v>
      </c>
      <c r="L26" s="123">
        <v>1</v>
      </c>
      <c r="M26" s="218">
        <f>'SOUHRN A KONSTANTY'!$P$5</f>
        <v>0</v>
      </c>
      <c r="N26" s="130"/>
      <c r="O26" s="130"/>
      <c r="P26" s="130">
        <f>SUM(P3:P25)*M26</f>
        <v>0</v>
      </c>
      <c r="Q26" s="129" t="str">
        <f>M26*100&amp;"% z celkových IN dané profese"</f>
        <v>0% z celkových IN dané profese</v>
      </c>
    </row>
    <row r="27" spans="1:17" ht="15" thickBot="1" x14ac:dyDescent="0.3">
      <c r="A27" s="162" t="s">
        <v>99</v>
      </c>
      <c r="B27" s="163"/>
      <c r="C27" s="164" t="s">
        <v>69</v>
      </c>
      <c r="D27" s="164"/>
      <c r="E27" s="165"/>
      <c r="F27" s="164"/>
      <c r="G27" s="164"/>
      <c r="H27" s="164"/>
      <c r="I27" s="164"/>
      <c r="J27" s="164"/>
      <c r="K27" s="164"/>
      <c r="L27" s="166"/>
      <c r="M27" s="164"/>
      <c r="N27" s="164"/>
      <c r="O27" s="164"/>
      <c r="P27" s="219">
        <f>_xlfn.CEILING.MATH(SUBTOTAL(109,P3:P26),10)</f>
        <v>0</v>
      </c>
    </row>
    <row r="29" spans="1:17" s="146" customFormat="1" x14ac:dyDescent="0.25">
      <c r="A29" s="167" t="s">
        <v>58</v>
      </c>
      <c r="B29" s="141" t="s">
        <v>59</v>
      </c>
      <c r="C29" s="142" t="s">
        <v>150</v>
      </c>
      <c r="D29" s="143" t="s">
        <v>61</v>
      </c>
      <c r="E29" s="144" t="s">
        <v>62</v>
      </c>
      <c r="F29" s="168" t="s">
        <v>571</v>
      </c>
      <c r="G29" s="146" t="s">
        <v>63</v>
      </c>
      <c r="H29" s="187">
        <v>6</v>
      </c>
      <c r="I29" s="187">
        <f t="shared" si="6"/>
        <v>0</v>
      </c>
      <c r="J29" s="187">
        <f>IF($E29="ne","-",)</f>
        <v>0</v>
      </c>
      <c r="K29" s="187">
        <f t="shared" si="5"/>
        <v>0</v>
      </c>
      <c r="L29" s="184">
        <f t="shared" ref="L29:L37" si="7">IF($E29="ne","-",H29+I29+J29+K29)</f>
        <v>6</v>
      </c>
      <c r="M29" s="171"/>
      <c r="N29" s="171"/>
      <c r="O29" s="171"/>
      <c r="P29" s="171">
        <f t="shared" si="1"/>
        <v>0</v>
      </c>
    </row>
    <row r="30" spans="1:17" x14ac:dyDescent="0.25">
      <c r="A30" s="172" t="s">
        <v>58</v>
      </c>
      <c r="B30" s="126" t="s">
        <v>152</v>
      </c>
      <c r="C30" s="129" t="s">
        <v>150</v>
      </c>
      <c r="D30" s="119" t="s">
        <v>153</v>
      </c>
      <c r="E30" s="121" t="s">
        <v>113</v>
      </c>
      <c r="F30" s="128"/>
      <c r="G30" s="129" t="s">
        <v>63</v>
      </c>
      <c r="H30" s="122" t="str">
        <f>IF($E30="ne","-",)</f>
        <v>-</v>
      </c>
      <c r="I30" s="122" t="str">
        <f t="shared" si="6"/>
        <v>-</v>
      </c>
      <c r="J30" s="122" t="str">
        <f>IF($E30="ne","-",)</f>
        <v>-</v>
      </c>
      <c r="K30" s="122" t="str">
        <f t="shared" si="5"/>
        <v>-</v>
      </c>
      <c r="L30" s="123" t="str">
        <f t="shared" si="7"/>
        <v>-</v>
      </c>
      <c r="M30" s="175"/>
      <c r="N30" s="175"/>
      <c r="O30" s="175"/>
      <c r="P30" s="175">
        <f t="shared" si="1"/>
        <v>0</v>
      </c>
    </row>
    <row r="31" spans="1:17" x14ac:dyDescent="0.25">
      <c r="A31" s="172" t="s">
        <v>58</v>
      </c>
      <c r="B31" s="126" t="s">
        <v>155</v>
      </c>
      <c r="C31" s="129" t="s">
        <v>150</v>
      </c>
      <c r="D31" s="119" t="s">
        <v>156</v>
      </c>
      <c r="E31" s="121" t="s">
        <v>62</v>
      </c>
      <c r="F31" s="131" t="s">
        <v>572</v>
      </c>
      <c r="G31" s="129" t="s">
        <v>63</v>
      </c>
      <c r="H31" s="122">
        <f>IF($E31="ne","-",)</f>
        <v>0</v>
      </c>
      <c r="I31" s="122">
        <f t="shared" si="6"/>
        <v>0</v>
      </c>
      <c r="J31" s="122">
        <v>1</v>
      </c>
      <c r="K31" s="122">
        <f t="shared" si="5"/>
        <v>0</v>
      </c>
      <c r="L31" s="123">
        <f t="shared" si="7"/>
        <v>1</v>
      </c>
      <c r="M31" s="175"/>
      <c r="N31" s="175"/>
      <c r="O31" s="175"/>
      <c r="P31" s="175">
        <f t="shared" si="1"/>
        <v>0</v>
      </c>
    </row>
    <row r="32" spans="1:17" x14ac:dyDescent="0.25">
      <c r="A32" s="172" t="s">
        <v>58</v>
      </c>
      <c r="B32" s="126" t="s">
        <v>64</v>
      </c>
      <c r="C32" s="129" t="s">
        <v>150</v>
      </c>
      <c r="D32" s="119" t="s">
        <v>65</v>
      </c>
      <c r="E32" s="121" t="s">
        <v>62</v>
      </c>
      <c r="F32" s="131" t="s">
        <v>573</v>
      </c>
      <c r="G32" s="129" t="s">
        <v>63</v>
      </c>
      <c r="H32" s="122">
        <v>12</v>
      </c>
      <c r="I32" s="122">
        <f t="shared" si="6"/>
        <v>0</v>
      </c>
      <c r="J32" s="122">
        <f>IF($E32="ne","-",)</f>
        <v>0</v>
      </c>
      <c r="K32" s="122">
        <f t="shared" si="5"/>
        <v>0</v>
      </c>
      <c r="L32" s="123">
        <f t="shared" si="7"/>
        <v>12</v>
      </c>
      <c r="M32" s="175"/>
      <c r="N32" s="175"/>
      <c r="O32" s="175"/>
      <c r="P32" s="175">
        <f t="shared" si="1"/>
        <v>0</v>
      </c>
    </row>
    <row r="33" spans="1:17" x14ac:dyDescent="0.25">
      <c r="A33" s="172" t="s">
        <v>58</v>
      </c>
      <c r="B33" s="126" t="s">
        <v>67</v>
      </c>
      <c r="C33" s="129" t="s">
        <v>150</v>
      </c>
      <c r="D33" s="119" t="s">
        <v>68</v>
      </c>
      <c r="E33" s="121" t="s">
        <v>113</v>
      </c>
      <c r="F33" s="128"/>
      <c r="G33" s="129" t="s">
        <v>63</v>
      </c>
      <c r="H33" s="122" t="str">
        <f>IF($E33="ne","-",)</f>
        <v>-</v>
      </c>
      <c r="I33" s="122" t="str">
        <f t="shared" si="6"/>
        <v>-</v>
      </c>
      <c r="J33" s="122" t="str">
        <f>IF($E33="ne","-",)</f>
        <v>-</v>
      </c>
      <c r="K33" s="122" t="str">
        <f t="shared" si="5"/>
        <v>-</v>
      </c>
      <c r="L33" s="123" t="str">
        <f t="shared" si="7"/>
        <v>-</v>
      </c>
      <c r="M33" s="175"/>
      <c r="N33" s="175"/>
      <c r="O33" s="175"/>
      <c r="P33" s="175">
        <f t="shared" si="1"/>
        <v>0</v>
      </c>
    </row>
    <row r="34" spans="1:17" s="134" customFormat="1" x14ac:dyDescent="0.25">
      <c r="A34" s="176" t="s">
        <v>58</v>
      </c>
      <c r="B34" s="133" t="s">
        <v>157</v>
      </c>
      <c r="C34" s="134" t="s">
        <v>150</v>
      </c>
      <c r="D34" s="135" t="s">
        <v>158</v>
      </c>
      <c r="E34" s="121" t="s">
        <v>62</v>
      </c>
      <c r="F34" s="287" t="s">
        <v>574</v>
      </c>
      <c r="G34" s="134" t="s">
        <v>63</v>
      </c>
      <c r="H34" s="122">
        <f>IF($E34="ne","-",)</f>
        <v>0</v>
      </c>
      <c r="I34" s="122">
        <f t="shared" si="6"/>
        <v>0</v>
      </c>
      <c r="J34" s="122">
        <v>2</v>
      </c>
      <c r="K34" s="122">
        <f t="shared" si="5"/>
        <v>0</v>
      </c>
      <c r="L34" s="138">
        <f t="shared" si="7"/>
        <v>2</v>
      </c>
      <c r="M34" s="178"/>
      <c r="N34" s="178"/>
      <c r="O34" s="178"/>
      <c r="P34" s="178">
        <f t="shared" si="1"/>
        <v>0</v>
      </c>
    </row>
    <row r="35" spans="1:17" s="155" customFormat="1" x14ac:dyDescent="0.25">
      <c r="A35" s="179" t="s">
        <v>58</v>
      </c>
      <c r="B35" s="151" t="s">
        <v>159</v>
      </c>
      <c r="C35" s="155" t="s">
        <v>160</v>
      </c>
      <c r="D35" s="159" t="s">
        <v>161</v>
      </c>
      <c r="E35" s="153" t="s">
        <v>62</v>
      </c>
      <c r="F35" s="281" t="s">
        <v>575</v>
      </c>
      <c r="G35" s="155" t="s">
        <v>63</v>
      </c>
      <c r="H35" s="156">
        <v>6</v>
      </c>
      <c r="I35" s="156">
        <f t="shared" si="6"/>
        <v>0</v>
      </c>
      <c r="J35" s="156">
        <f>IF($E35="ne","-",)</f>
        <v>0</v>
      </c>
      <c r="K35" s="156">
        <f t="shared" si="5"/>
        <v>0</v>
      </c>
      <c r="L35" s="138">
        <f t="shared" si="7"/>
        <v>6</v>
      </c>
      <c r="M35" s="181"/>
      <c r="N35" s="181"/>
      <c r="O35" s="181"/>
      <c r="P35" s="181">
        <f t="shared" si="1"/>
        <v>0</v>
      </c>
    </row>
    <row r="36" spans="1:17" x14ac:dyDescent="0.25">
      <c r="A36" s="172" t="s">
        <v>58</v>
      </c>
      <c r="B36" s="126" t="s">
        <v>162</v>
      </c>
      <c r="C36" s="127" t="s">
        <v>163</v>
      </c>
      <c r="D36" s="119" t="s">
        <v>164</v>
      </c>
      <c r="E36" s="121" t="s">
        <v>62</v>
      </c>
      <c r="F36" s="131" t="s">
        <v>576</v>
      </c>
      <c r="G36" s="129" t="s">
        <v>74</v>
      </c>
      <c r="H36" s="122">
        <f>6*4+6*4+20*4+7*4+18*6+4*6</f>
        <v>288</v>
      </c>
      <c r="I36" s="122">
        <f t="shared" si="6"/>
        <v>0</v>
      </c>
      <c r="J36" s="122">
        <f>IF($E36="ne","-",)</f>
        <v>0</v>
      </c>
      <c r="K36" s="122">
        <f t="shared" si="5"/>
        <v>0</v>
      </c>
      <c r="L36" s="123">
        <v>6</v>
      </c>
      <c r="M36" s="175"/>
      <c r="N36" s="175"/>
      <c r="O36" s="175"/>
      <c r="P36" s="175">
        <f t="shared" si="1"/>
        <v>0</v>
      </c>
      <c r="Q36" s="129" t="s">
        <v>309</v>
      </c>
    </row>
    <row r="37" spans="1:17" x14ac:dyDescent="0.25">
      <c r="A37" s="172" t="s">
        <v>58</v>
      </c>
      <c r="B37" s="126" t="s">
        <v>166</v>
      </c>
      <c r="C37" s="129" t="s">
        <v>163</v>
      </c>
      <c r="D37" s="119" t="s">
        <v>167</v>
      </c>
      <c r="E37" s="121" t="s">
        <v>113</v>
      </c>
      <c r="F37" s="128"/>
      <c r="G37" s="129" t="s">
        <v>103</v>
      </c>
      <c r="H37" s="122" t="str">
        <f>IF($E37="ne","-",)</f>
        <v>-</v>
      </c>
      <c r="I37" s="122" t="str">
        <f t="shared" si="6"/>
        <v>-</v>
      </c>
      <c r="J37" s="122" t="str">
        <f>IF($E37="ne","-",)</f>
        <v>-</v>
      </c>
      <c r="K37" s="122" t="str">
        <f t="shared" si="5"/>
        <v>-</v>
      </c>
      <c r="L37" s="123" t="str">
        <f t="shared" si="7"/>
        <v>-</v>
      </c>
      <c r="M37" s="175"/>
      <c r="N37" s="175"/>
      <c r="O37" s="175"/>
      <c r="P37" s="175">
        <f t="shared" si="1"/>
        <v>0</v>
      </c>
    </row>
    <row r="38" spans="1:17" x14ac:dyDescent="0.25">
      <c r="A38" s="172" t="s">
        <v>58</v>
      </c>
      <c r="B38" s="126" t="s">
        <v>169</v>
      </c>
      <c r="C38" s="129" t="s">
        <v>163</v>
      </c>
      <c r="D38" s="119" t="s">
        <v>170</v>
      </c>
      <c r="E38" s="121" t="s">
        <v>62</v>
      </c>
      <c r="F38" s="131" t="s">
        <v>577</v>
      </c>
      <c r="G38" s="129" t="s">
        <v>74</v>
      </c>
      <c r="H38" s="122">
        <f t="shared" ref="H38:H48" si="8">IF($E38="ne","-",)</f>
        <v>0</v>
      </c>
      <c r="I38" s="122">
        <f t="shared" si="6"/>
        <v>0</v>
      </c>
      <c r="J38" s="122">
        <v>16</v>
      </c>
      <c r="K38" s="122">
        <f t="shared" si="5"/>
        <v>0</v>
      </c>
      <c r="L38" s="123">
        <v>1</v>
      </c>
      <c r="M38" s="175"/>
      <c r="N38" s="175"/>
      <c r="O38" s="175"/>
      <c r="P38" s="175">
        <f t="shared" si="1"/>
        <v>0</v>
      </c>
      <c r="Q38" s="129" t="s">
        <v>310</v>
      </c>
    </row>
    <row r="39" spans="1:17" s="134" customFormat="1" x14ac:dyDescent="0.25">
      <c r="A39" s="176" t="s">
        <v>58</v>
      </c>
      <c r="B39" s="126" t="s">
        <v>171</v>
      </c>
      <c r="C39" s="134" t="s">
        <v>163</v>
      </c>
      <c r="D39" s="135" t="s">
        <v>172</v>
      </c>
      <c r="E39" s="136" t="s">
        <v>62</v>
      </c>
      <c r="F39" s="131" t="s">
        <v>578</v>
      </c>
      <c r="G39" s="134" t="s">
        <v>103</v>
      </c>
      <c r="H39" s="137">
        <f>(2*78+2*4)+33+4+95+4+(17+18)</f>
        <v>335</v>
      </c>
      <c r="I39" s="137">
        <f t="shared" si="6"/>
        <v>0</v>
      </c>
      <c r="J39" s="137">
        <f>IF($E39="ne","-",)</f>
        <v>0</v>
      </c>
      <c r="K39" s="137">
        <f t="shared" si="5"/>
        <v>0</v>
      </c>
      <c r="L39" s="138">
        <v>335</v>
      </c>
      <c r="M39" s="139"/>
      <c r="N39" s="178"/>
      <c r="O39" s="178"/>
      <c r="P39" s="178">
        <f t="shared" si="1"/>
        <v>0</v>
      </c>
    </row>
    <row r="40" spans="1:17" s="134" customFormat="1" x14ac:dyDescent="0.25">
      <c r="A40" s="176" t="s">
        <v>58</v>
      </c>
      <c r="B40" s="151" t="s">
        <v>173</v>
      </c>
      <c r="C40" s="134" t="s">
        <v>174</v>
      </c>
      <c r="D40" s="134" t="s">
        <v>174</v>
      </c>
      <c r="E40" s="136" t="s">
        <v>62</v>
      </c>
      <c r="F40" s="288" t="s">
        <v>531</v>
      </c>
      <c r="G40" s="134" t="s">
        <v>74</v>
      </c>
      <c r="H40" s="156">
        <f t="shared" si="8"/>
        <v>0</v>
      </c>
      <c r="I40" s="156">
        <f t="shared" si="6"/>
        <v>0</v>
      </c>
      <c r="J40" s="156">
        <f>IF($E40="ne","-",)</f>
        <v>0</v>
      </c>
      <c r="K40" s="156">
        <f t="shared" si="5"/>
        <v>0</v>
      </c>
      <c r="L40" s="138">
        <v>1</v>
      </c>
      <c r="M40" s="178"/>
      <c r="N40" s="178"/>
      <c r="O40" s="178"/>
      <c r="P40" s="178">
        <f t="shared" si="1"/>
        <v>0</v>
      </c>
      <c r="Q40" s="155"/>
    </row>
    <row r="41" spans="1:17" s="155" customFormat="1" x14ac:dyDescent="0.25">
      <c r="A41" s="179" t="s">
        <v>58</v>
      </c>
      <c r="B41" s="151" t="s">
        <v>175</v>
      </c>
      <c r="C41" s="183" t="s">
        <v>176</v>
      </c>
      <c r="D41" s="183" t="s">
        <v>176</v>
      </c>
      <c r="E41" s="153" t="s">
        <v>62</v>
      </c>
      <c r="F41" s="155" t="s">
        <v>399</v>
      </c>
      <c r="G41" s="155" t="s">
        <v>74</v>
      </c>
      <c r="H41" s="156">
        <f t="shared" si="8"/>
        <v>0</v>
      </c>
      <c r="I41" s="156">
        <f t="shared" si="6"/>
        <v>0</v>
      </c>
      <c r="J41" s="156">
        <f>IF($E41="ne","-",)</f>
        <v>0</v>
      </c>
      <c r="K41" s="156">
        <f t="shared" si="5"/>
        <v>0</v>
      </c>
      <c r="L41" s="138">
        <v>1</v>
      </c>
      <c r="M41" s="181"/>
      <c r="N41" s="181"/>
      <c r="O41" s="181"/>
      <c r="P41" s="181">
        <f t="shared" si="1"/>
        <v>0</v>
      </c>
    </row>
    <row r="42" spans="1:17" s="146" customFormat="1" ht="15" thickBot="1" x14ac:dyDescent="0.3">
      <c r="A42" s="167" t="s">
        <v>58</v>
      </c>
      <c r="B42" s="143"/>
      <c r="C42" s="146" t="s">
        <v>84</v>
      </c>
      <c r="E42" s="144" t="s">
        <v>62</v>
      </c>
      <c r="F42" s="161" t="s">
        <v>280</v>
      </c>
      <c r="G42" s="129"/>
      <c r="L42" s="184">
        <v>1</v>
      </c>
      <c r="M42" s="218">
        <f>'SOUHRN A KONSTANTY'!$P$6</f>
        <v>0</v>
      </c>
      <c r="P42" s="130">
        <f>SUM(P29:P41)*M42</f>
        <v>0</v>
      </c>
      <c r="Q42" s="129" t="str">
        <f>M42*100&amp;"% z celkových IN dané profese"</f>
        <v>0% z celkových IN dané profese</v>
      </c>
    </row>
    <row r="43" spans="1:17" ht="15" thickBot="1" x14ac:dyDescent="0.3">
      <c r="A43" s="185" t="s">
        <v>58</v>
      </c>
      <c r="B43" s="163"/>
      <c r="C43" s="164" t="s">
        <v>69</v>
      </c>
      <c r="D43" s="164"/>
      <c r="E43" s="165"/>
      <c r="F43" s="164"/>
      <c r="G43" s="164"/>
      <c r="H43" s="164"/>
      <c r="I43" s="164"/>
      <c r="J43" s="164"/>
      <c r="K43" s="164"/>
      <c r="L43" s="166"/>
      <c r="M43" s="164"/>
      <c r="N43" s="164"/>
      <c r="O43" s="164"/>
      <c r="P43" s="219">
        <f>_xlfn.CEILING.MATH(SUBTOTAL(109,P29:P42),10)</f>
        <v>0</v>
      </c>
    </row>
    <row r="45" spans="1:17" s="146" customFormat="1" x14ac:dyDescent="0.25">
      <c r="A45" s="186" t="s">
        <v>70</v>
      </c>
      <c r="B45" s="141" t="s">
        <v>177</v>
      </c>
      <c r="C45" s="142" t="s">
        <v>178</v>
      </c>
      <c r="D45" s="146" t="s">
        <v>179</v>
      </c>
      <c r="E45" s="144" t="s">
        <v>62</v>
      </c>
      <c r="F45" s="146" t="s">
        <v>579</v>
      </c>
      <c r="G45" s="146" t="s">
        <v>74</v>
      </c>
      <c r="H45" s="187">
        <f t="shared" si="8"/>
        <v>0</v>
      </c>
      <c r="I45" s="187">
        <f t="shared" si="6"/>
        <v>0</v>
      </c>
      <c r="J45" s="187">
        <f>IF($E45="ne","-",)</f>
        <v>0</v>
      </c>
      <c r="K45" s="187">
        <v>1</v>
      </c>
      <c r="L45" s="184">
        <f t="shared" ref="L45:L51" si="9">IF($E45="ne","-",H45+I45+J45+K45)</f>
        <v>1</v>
      </c>
      <c r="P45" s="146">
        <f t="shared" si="1"/>
        <v>0</v>
      </c>
    </row>
    <row r="46" spans="1:17" x14ac:dyDescent="0.25">
      <c r="A46" s="188" t="s">
        <v>70</v>
      </c>
      <c r="B46" s="126" t="s">
        <v>180</v>
      </c>
      <c r="C46" s="129" t="s">
        <v>178</v>
      </c>
      <c r="D46" s="129" t="s">
        <v>181</v>
      </c>
      <c r="E46" s="121" t="s">
        <v>62</v>
      </c>
      <c r="F46" s="129" t="s">
        <v>580</v>
      </c>
      <c r="G46" s="129" t="s">
        <v>74</v>
      </c>
      <c r="H46" s="122">
        <f t="shared" si="8"/>
        <v>0</v>
      </c>
      <c r="I46" s="122">
        <f t="shared" si="6"/>
        <v>0</v>
      </c>
      <c r="J46" s="122">
        <v>7</v>
      </c>
      <c r="K46" s="122">
        <f>IF($E46="ne","-",)</f>
        <v>0</v>
      </c>
      <c r="L46" s="123">
        <f t="shared" si="9"/>
        <v>7</v>
      </c>
      <c r="P46" s="129">
        <f t="shared" si="1"/>
        <v>0</v>
      </c>
    </row>
    <row r="47" spans="1:17" x14ac:dyDescent="0.25">
      <c r="A47" s="188" t="s">
        <v>70</v>
      </c>
      <c r="B47" s="126" t="s">
        <v>182</v>
      </c>
      <c r="C47" s="129" t="s">
        <v>178</v>
      </c>
      <c r="D47" s="129" t="s">
        <v>183</v>
      </c>
      <c r="E47" s="121" t="s">
        <v>62</v>
      </c>
      <c r="F47" s="129" t="s">
        <v>581</v>
      </c>
      <c r="G47" s="129" t="s">
        <v>74</v>
      </c>
      <c r="H47" s="122">
        <f t="shared" si="8"/>
        <v>0</v>
      </c>
      <c r="I47" s="122">
        <f t="shared" si="6"/>
        <v>0</v>
      </c>
      <c r="J47" s="122">
        <v>1</v>
      </c>
      <c r="K47" s="122">
        <v>1</v>
      </c>
      <c r="L47" s="123">
        <f t="shared" si="9"/>
        <v>2</v>
      </c>
      <c r="P47" s="129">
        <f t="shared" si="1"/>
        <v>0</v>
      </c>
    </row>
    <row r="48" spans="1:17" x14ac:dyDescent="0.25">
      <c r="A48" s="188" t="s">
        <v>70</v>
      </c>
      <c r="B48" s="126" t="s">
        <v>184</v>
      </c>
      <c r="C48" s="129" t="s">
        <v>178</v>
      </c>
      <c r="D48" s="129" t="s">
        <v>185</v>
      </c>
      <c r="E48" s="121" t="s">
        <v>62</v>
      </c>
      <c r="F48" s="129" t="s">
        <v>582</v>
      </c>
      <c r="G48" s="129" t="s">
        <v>74</v>
      </c>
      <c r="H48" s="122">
        <f t="shared" si="8"/>
        <v>0</v>
      </c>
      <c r="I48" s="122">
        <f t="shared" si="6"/>
        <v>0</v>
      </c>
      <c r="J48" s="122">
        <v>1</v>
      </c>
      <c r="K48" s="122">
        <v>1</v>
      </c>
      <c r="L48" s="123">
        <f t="shared" si="9"/>
        <v>2</v>
      </c>
      <c r="P48" s="129">
        <f t="shared" si="1"/>
        <v>0</v>
      </c>
    </row>
    <row r="49" spans="1:17" x14ac:dyDescent="0.25">
      <c r="A49" s="188" t="s">
        <v>70</v>
      </c>
      <c r="B49" s="126" t="s">
        <v>186</v>
      </c>
      <c r="C49" s="129" t="s">
        <v>178</v>
      </c>
      <c r="D49" s="129" t="s">
        <v>187</v>
      </c>
      <c r="E49" s="121" t="s">
        <v>62</v>
      </c>
      <c r="F49" s="289" t="s">
        <v>583</v>
      </c>
      <c r="G49" s="129" t="s">
        <v>74</v>
      </c>
      <c r="H49" s="122">
        <v>6</v>
      </c>
      <c r="I49" s="122">
        <v>2</v>
      </c>
      <c r="J49" s="122">
        <f>IF($E49="ne","-",)</f>
        <v>0</v>
      </c>
      <c r="K49" s="122">
        <f>IF($E49="ne","-",)</f>
        <v>0</v>
      </c>
      <c r="L49" s="123">
        <f t="shared" si="9"/>
        <v>8</v>
      </c>
      <c r="P49" s="129">
        <f t="shared" si="1"/>
        <v>0</v>
      </c>
    </row>
    <row r="50" spans="1:17" x14ac:dyDescent="0.25">
      <c r="A50" s="188" t="s">
        <v>70</v>
      </c>
      <c r="B50" s="126" t="s">
        <v>188</v>
      </c>
      <c r="C50" s="129" t="s">
        <v>178</v>
      </c>
      <c r="D50" s="129" t="s">
        <v>189</v>
      </c>
      <c r="E50" s="121" t="s">
        <v>62</v>
      </c>
      <c r="F50" s="129" t="s">
        <v>584</v>
      </c>
      <c r="G50" s="129" t="s">
        <v>74</v>
      </c>
      <c r="H50" s="122">
        <v>12</v>
      </c>
      <c r="I50" s="122">
        <v>0</v>
      </c>
      <c r="J50" s="122">
        <v>4</v>
      </c>
      <c r="K50" s="122">
        <f>IF($E50="ne","-",)</f>
        <v>0</v>
      </c>
      <c r="L50" s="123">
        <f t="shared" si="9"/>
        <v>16</v>
      </c>
      <c r="P50" s="129">
        <f t="shared" si="1"/>
        <v>0</v>
      </c>
    </row>
    <row r="51" spans="1:17" x14ac:dyDescent="0.25">
      <c r="A51" s="188" t="s">
        <v>70</v>
      </c>
      <c r="B51" s="126" t="s">
        <v>190</v>
      </c>
      <c r="C51" s="129" t="s">
        <v>178</v>
      </c>
      <c r="D51" s="129" t="s">
        <v>191</v>
      </c>
      <c r="E51" s="121" t="s">
        <v>62</v>
      </c>
      <c r="F51" s="161" t="s">
        <v>539</v>
      </c>
      <c r="G51" s="129" t="s">
        <v>74</v>
      </c>
      <c r="H51" s="122">
        <f t="shared" ref="H51:I54" si="10">IF($E51="ne","-",)</f>
        <v>0</v>
      </c>
      <c r="I51" s="122">
        <f t="shared" si="10"/>
        <v>0</v>
      </c>
      <c r="J51" s="122">
        <v>1</v>
      </c>
      <c r="K51" s="122">
        <v>1</v>
      </c>
      <c r="L51" s="123">
        <f t="shared" si="9"/>
        <v>2</v>
      </c>
      <c r="P51" s="129">
        <f t="shared" si="1"/>
        <v>0</v>
      </c>
    </row>
    <row r="52" spans="1:17" s="146" customFormat="1" ht="25.5" customHeight="1" x14ac:dyDescent="0.25">
      <c r="A52" s="186" t="s">
        <v>70</v>
      </c>
      <c r="B52" s="141" t="s">
        <v>192</v>
      </c>
      <c r="C52" s="142" t="s">
        <v>193</v>
      </c>
      <c r="D52" s="143" t="s">
        <v>194</v>
      </c>
      <c r="E52" s="144" t="s">
        <v>62</v>
      </c>
      <c r="F52" s="146" t="s">
        <v>585</v>
      </c>
      <c r="G52" s="146" t="s">
        <v>63</v>
      </c>
      <c r="H52" s="187">
        <f t="shared" si="10"/>
        <v>0</v>
      </c>
      <c r="I52" s="187">
        <f t="shared" si="10"/>
        <v>0</v>
      </c>
      <c r="J52" s="187">
        <f t="shared" ref="J52:K55" si="11">IF($E52="ne","-",)</f>
        <v>0</v>
      </c>
      <c r="K52" s="187">
        <f t="shared" si="11"/>
        <v>0</v>
      </c>
      <c r="L52" s="184">
        <v>1</v>
      </c>
      <c r="P52" s="146">
        <f t="shared" si="1"/>
        <v>0</v>
      </c>
    </row>
    <row r="53" spans="1:17" x14ac:dyDescent="0.25">
      <c r="A53" s="188" t="s">
        <v>70</v>
      </c>
      <c r="B53" s="126" t="s">
        <v>195</v>
      </c>
      <c r="C53" s="129" t="s">
        <v>193</v>
      </c>
      <c r="D53" s="119" t="s">
        <v>196</v>
      </c>
      <c r="E53" s="121" t="s">
        <v>62</v>
      </c>
      <c r="F53" s="161" t="s">
        <v>441</v>
      </c>
      <c r="G53" s="129" t="s">
        <v>74</v>
      </c>
      <c r="H53" s="122">
        <f t="shared" si="10"/>
        <v>0</v>
      </c>
      <c r="I53" s="122">
        <f t="shared" si="10"/>
        <v>0</v>
      </c>
      <c r="J53" s="122">
        <f t="shared" si="11"/>
        <v>0</v>
      </c>
      <c r="K53" s="122">
        <f t="shared" si="11"/>
        <v>0</v>
      </c>
      <c r="L53" s="123">
        <v>1</v>
      </c>
      <c r="P53" s="129">
        <f t="shared" si="1"/>
        <v>0</v>
      </c>
    </row>
    <row r="54" spans="1:17" s="134" customFormat="1" x14ac:dyDescent="0.25">
      <c r="A54" s="190" t="s">
        <v>70</v>
      </c>
      <c r="B54" s="133" t="s">
        <v>197</v>
      </c>
      <c r="C54" s="191" t="s">
        <v>193</v>
      </c>
      <c r="D54" s="192" t="s">
        <v>198</v>
      </c>
      <c r="E54" s="136" t="s">
        <v>62</v>
      </c>
      <c r="F54" s="206" t="s">
        <v>441</v>
      </c>
      <c r="G54" s="134" t="s">
        <v>74</v>
      </c>
      <c r="H54" s="137">
        <f t="shared" si="10"/>
        <v>0</v>
      </c>
      <c r="I54" s="137">
        <f t="shared" si="10"/>
        <v>0</v>
      </c>
      <c r="J54" s="137">
        <f t="shared" si="11"/>
        <v>0</v>
      </c>
      <c r="K54" s="137">
        <f t="shared" si="11"/>
        <v>0</v>
      </c>
      <c r="L54" s="138">
        <v>1</v>
      </c>
      <c r="P54" s="134">
        <f t="shared" si="1"/>
        <v>0</v>
      </c>
    </row>
    <row r="55" spans="1:17" x14ac:dyDescent="0.25">
      <c r="A55" s="188" t="s">
        <v>70</v>
      </c>
      <c r="B55" s="193" t="s">
        <v>199</v>
      </c>
      <c r="C55" s="194" t="s">
        <v>200</v>
      </c>
      <c r="D55" s="194" t="s">
        <v>201</v>
      </c>
      <c r="E55" s="121" t="s">
        <v>62</v>
      </c>
      <c r="F55" s="129" t="s">
        <v>505</v>
      </c>
      <c r="G55" s="129" t="s">
        <v>63</v>
      </c>
      <c r="H55" s="122">
        <v>20</v>
      </c>
      <c r="I55" s="122">
        <f>IF($E55="ne","-",)</f>
        <v>0</v>
      </c>
      <c r="J55" s="122">
        <f t="shared" si="11"/>
        <v>0</v>
      </c>
      <c r="K55" s="122">
        <f t="shared" si="11"/>
        <v>0</v>
      </c>
      <c r="L55" s="123">
        <f>IF($E55="ne","-",H55+I55+J55+K55)</f>
        <v>20</v>
      </c>
      <c r="P55" s="129">
        <f t="shared" si="1"/>
        <v>0</v>
      </c>
    </row>
    <row r="56" spans="1:17" x14ac:dyDescent="0.25">
      <c r="A56" s="188" t="s">
        <v>70</v>
      </c>
      <c r="B56" s="193" t="s">
        <v>199</v>
      </c>
      <c r="C56" s="194" t="s">
        <v>200</v>
      </c>
      <c r="D56" s="194" t="s">
        <v>202</v>
      </c>
      <c r="E56" s="121" t="s">
        <v>62</v>
      </c>
      <c r="F56" s="129" t="s">
        <v>586</v>
      </c>
      <c r="G56" s="129" t="s">
        <v>63</v>
      </c>
      <c r="H56" s="122">
        <v>17</v>
      </c>
      <c r="I56" s="122">
        <v>2</v>
      </c>
      <c r="J56" s="122">
        <f>IF($E56="ne","-",)</f>
        <v>0</v>
      </c>
      <c r="K56" s="122">
        <v>2</v>
      </c>
      <c r="L56" s="123">
        <f>IF($E56="ne","-",H56+I56+J56+K56)</f>
        <v>21</v>
      </c>
      <c r="P56" s="129">
        <f t="shared" si="1"/>
        <v>0</v>
      </c>
    </row>
    <row r="57" spans="1:17" s="134" customFormat="1" x14ac:dyDescent="0.25">
      <c r="A57" s="196" t="s">
        <v>70</v>
      </c>
      <c r="B57" s="197" t="s">
        <v>203</v>
      </c>
      <c r="C57" s="192" t="s">
        <v>200</v>
      </c>
      <c r="D57" s="192" t="s">
        <v>204</v>
      </c>
      <c r="E57" s="136" t="s">
        <v>62</v>
      </c>
      <c r="F57" s="206" t="s">
        <v>587</v>
      </c>
      <c r="G57" s="134" t="s">
        <v>74</v>
      </c>
      <c r="H57" s="137">
        <f>IF($E57="ne","-",)</f>
        <v>0</v>
      </c>
      <c r="I57" s="137">
        <f>IF($E57="ne","-",)</f>
        <v>0</v>
      </c>
      <c r="J57" s="137">
        <f>IF($E57="ne","-",)</f>
        <v>0</v>
      </c>
      <c r="K57" s="137">
        <f t="shared" ref="K57:K64" si="12">IF($E57="ne","-",)</f>
        <v>0</v>
      </c>
      <c r="L57" s="138">
        <v>1</v>
      </c>
      <c r="P57" s="134">
        <f t="shared" si="1"/>
        <v>0</v>
      </c>
    </row>
    <row r="58" spans="1:17" x14ac:dyDescent="0.25">
      <c r="A58" s="188" t="s">
        <v>70</v>
      </c>
      <c r="B58" s="193" t="s">
        <v>205</v>
      </c>
      <c r="C58" s="194" t="s">
        <v>206</v>
      </c>
      <c r="D58" s="194" t="s">
        <v>207</v>
      </c>
      <c r="E58" s="121" t="s">
        <v>62</v>
      </c>
      <c r="F58" s="161" t="s">
        <v>588</v>
      </c>
      <c r="G58" s="129" t="s">
        <v>63</v>
      </c>
      <c r="H58" s="122">
        <v>9</v>
      </c>
      <c r="I58" s="122">
        <v>2</v>
      </c>
      <c r="J58" s="122">
        <f>IF($E58="ne","-",)</f>
        <v>0</v>
      </c>
      <c r="K58" s="122">
        <v>1</v>
      </c>
      <c r="L58" s="123">
        <f>IF($E58="ne","-",H58+I58+J58+K58)</f>
        <v>12</v>
      </c>
      <c r="P58" s="129">
        <f t="shared" si="1"/>
        <v>0</v>
      </c>
    </row>
    <row r="59" spans="1:17" s="134" customFormat="1" x14ac:dyDescent="0.25">
      <c r="A59" s="196" t="s">
        <v>70</v>
      </c>
      <c r="B59" s="133" t="s">
        <v>208</v>
      </c>
      <c r="C59" s="134" t="s">
        <v>206</v>
      </c>
      <c r="D59" s="135" t="s">
        <v>209</v>
      </c>
      <c r="E59" s="136" t="s">
        <v>62</v>
      </c>
      <c r="F59" s="206" t="s">
        <v>589</v>
      </c>
      <c r="G59" s="134" t="s">
        <v>63</v>
      </c>
      <c r="H59" s="137">
        <v>3</v>
      </c>
      <c r="I59" s="137">
        <f t="shared" ref="I59:I67" si="13">IF($E59="ne","-",)</f>
        <v>0</v>
      </c>
      <c r="J59" s="137">
        <f>IF($E59="ne","-",)</f>
        <v>0</v>
      </c>
      <c r="K59" s="137">
        <f t="shared" si="12"/>
        <v>0</v>
      </c>
      <c r="L59" s="138">
        <f>IF($E59="ne","-",H59+I59+J59+K59)</f>
        <v>3</v>
      </c>
      <c r="O59" s="129"/>
      <c r="P59" s="129">
        <f t="shared" si="1"/>
        <v>0</v>
      </c>
      <c r="Q59" s="129"/>
    </row>
    <row r="60" spans="1:17" x14ac:dyDescent="0.25">
      <c r="A60" s="186" t="s">
        <v>70</v>
      </c>
      <c r="B60" s="141" t="s">
        <v>210</v>
      </c>
      <c r="C60" s="199" t="s">
        <v>211</v>
      </c>
      <c r="D60" s="143" t="s">
        <v>212</v>
      </c>
      <c r="E60" s="144" t="s">
        <v>62</v>
      </c>
      <c r="F60" s="195" t="s">
        <v>590</v>
      </c>
      <c r="G60" s="146" t="s">
        <v>74</v>
      </c>
      <c r="H60" s="187">
        <f t="shared" ref="H60:H67" si="14">IF($E60="ne","-",)</f>
        <v>0</v>
      </c>
      <c r="I60" s="187">
        <f t="shared" si="13"/>
        <v>0</v>
      </c>
      <c r="J60" s="187">
        <v>4</v>
      </c>
      <c r="K60" s="187">
        <f t="shared" si="12"/>
        <v>0</v>
      </c>
      <c r="L60" s="184">
        <f>IF($E60="ne","-",H60+I60+J60+K60)</f>
        <v>4</v>
      </c>
      <c r="M60" s="146"/>
      <c r="N60" s="146"/>
      <c r="O60" s="146"/>
      <c r="P60" s="146">
        <f t="shared" si="1"/>
        <v>0</v>
      </c>
      <c r="Q60" s="146"/>
    </row>
    <row r="61" spans="1:17" x14ac:dyDescent="0.25">
      <c r="A61" s="188" t="s">
        <v>70</v>
      </c>
      <c r="B61" s="126" t="s">
        <v>213</v>
      </c>
      <c r="C61" s="194" t="s">
        <v>211</v>
      </c>
      <c r="D61" s="119" t="s">
        <v>214</v>
      </c>
      <c r="E61" s="121" t="s">
        <v>62</v>
      </c>
      <c r="F61" s="129" t="s">
        <v>431</v>
      </c>
      <c r="G61" s="129" t="s">
        <v>74</v>
      </c>
      <c r="H61" s="122">
        <f t="shared" si="14"/>
        <v>0</v>
      </c>
      <c r="I61" s="122">
        <f t="shared" si="13"/>
        <v>0</v>
      </c>
      <c r="J61" s="122">
        <v>1</v>
      </c>
      <c r="K61" s="122">
        <f t="shared" si="12"/>
        <v>0</v>
      </c>
      <c r="L61" s="123">
        <f>IF($E61="ne","-",H61+I61+J61+K61)</f>
        <v>1</v>
      </c>
      <c r="P61" s="129">
        <f t="shared" si="1"/>
        <v>0</v>
      </c>
    </row>
    <row r="62" spans="1:17" x14ac:dyDescent="0.25">
      <c r="A62" s="188" t="s">
        <v>70</v>
      </c>
      <c r="B62" s="126" t="s">
        <v>215</v>
      </c>
      <c r="C62" s="194" t="s">
        <v>211</v>
      </c>
      <c r="D62" s="119" t="s">
        <v>216</v>
      </c>
      <c r="E62" s="121" t="s">
        <v>62</v>
      </c>
      <c r="F62" s="129" t="s">
        <v>591</v>
      </c>
      <c r="G62" s="129" t="s">
        <v>74</v>
      </c>
      <c r="H62" s="122">
        <f t="shared" si="14"/>
        <v>0</v>
      </c>
      <c r="I62" s="122">
        <f t="shared" si="13"/>
        <v>0</v>
      </c>
      <c r="J62" s="122">
        <v>1</v>
      </c>
      <c r="K62" s="122">
        <f t="shared" si="12"/>
        <v>0</v>
      </c>
      <c r="L62" s="123">
        <f>IF($E62="ne","-",H62+I62+J62+K62)</f>
        <v>1</v>
      </c>
      <c r="P62" s="129">
        <f t="shared" si="1"/>
        <v>0</v>
      </c>
    </row>
    <row r="63" spans="1:17" x14ac:dyDescent="0.25">
      <c r="A63" s="188" t="s">
        <v>70</v>
      </c>
      <c r="B63" s="126" t="s">
        <v>217</v>
      </c>
      <c r="C63" s="194" t="s">
        <v>211</v>
      </c>
      <c r="D63" s="119" t="s">
        <v>218</v>
      </c>
      <c r="E63" s="121" t="s">
        <v>62</v>
      </c>
      <c r="F63" s="161" t="s">
        <v>432</v>
      </c>
      <c r="G63" s="129" t="s">
        <v>74</v>
      </c>
      <c r="H63" s="122">
        <f t="shared" si="14"/>
        <v>0</v>
      </c>
      <c r="I63" s="122">
        <f t="shared" si="13"/>
        <v>0</v>
      </c>
      <c r="J63" s="122">
        <f>IF($E63="ne","-",)</f>
        <v>0</v>
      </c>
      <c r="K63" s="122">
        <f t="shared" si="12"/>
        <v>0</v>
      </c>
      <c r="L63" s="123">
        <v>1</v>
      </c>
      <c r="P63" s="129">
        <f t="shared" si="1"/>
        <v>0</v>
      </c>
    </row>
    <row r="64" spans="1:17" x14ac:dyDescent="0.25">
      <c r="A64" s="188" t="s">
        <v>70</v>
      </c>
      <c r="B64" s="126" t="s">
        <v>219</v>
      </c>
      <c r="C64" s="194" t="s">
        <v>211</v>
      </c>
      <c r="D64" s="119" t="s">
        <v>220</v>
      </c>
      <c r="E64" s="121" t="s">
        <v>62</v>
      </c>
      <c r="F64" s="161" t="s">
        <v>465</v>
      </c>
      <c r="G64" s="129" t="s">
        <v>74</v>
      </c>
      <c r="H64" s="122">
        <f t="shared" si="14"/>
        <v>0</v>
      </c>
      <c r="I64" s="122">
        <f t="shared" si="13"/>
        <v>0</v>
      </c>
      <c r="J64" s="122">
        <f>IF($E64="ne","-",)</f>
        <v>0</v>
      </c>
      <c r="K64" s="122">
        <f t="shared" si="12"/>
        <v>0</v>
      </c>
      <c r="L64" s="123">
        <v>1</v>
      </c>
      <c r="P64" s="129">
        <f t="shared" si="1"/>
        <v>0</v>
      </c>
    </row>
    <row r="65" spans="1:16" x14ac:dyDescent="0.25">
      <c r="A65" s="188" t="s">
        <v>70</v>
      </c>
      <c r="B65" s="126" t="s">
        <v>221</v>
      </c>
      <c r="C65" s="194" t="s">
        <v>211</v>
      </c>
      <c r="D65" s="119" t="s">
        <v>222</v>
      </c>
      <c r="E65" s="121" t="s">
        <v>62</v>
      </c>
      <c r="F65" s="161" t="s">
        <v>592</v>
      </c>
      <c r="G65" s="129" t="s">
        <v>74</v>
      </c>
      <c r="H65" s="122">
        <f t="shared" si="14"/>
        <v>0</v>
      </c>
      <c r="I65" s="122">
        <f t="shared" si="13"/>
        <v>0</v>
      </c>
      <c r="J65" s="122">
        <f>IF($E65="ne","-",)</f>
        <v>0</v>
      </c>
      <c r="K65" s="122">
        <v>0</v>
      </c>
      <c r="L65" s="123">
        <v>2</v>
      </c>
      <c r="P65" s="129">
        <f t="shared" si="1"/>
        <v>0</v>
      </c>
    </row>
    <row r="66" spans="1:16" x14ac:dyDescent="0.25">
      <c r="A66" s="188" t="s">
        <v>70</v>
      </c>
      <c r="B66" s="126" t="s">
        <v>223</v>
      </c>
      <c r="C66" s="194" t="s">
        <v>211</v>
      </c>
      <c r="D66" s="129" t="s">
        <v>397</v>
      </c>
      <c r="E66" s="121" t="s">
        <v>225</v>
      </c>
      <c r="F66" s="111" t="s">
        <v>435</v>
      </c>
      <c r="G66" s="129" t="s">
        <v>74</v>
      </c>
      <c r="H66" s="122" t="s">
        <v>154</v>
      </c>
      <c r="I66" s="122" t="s">
        <v>154</v>
      </c>
      <c r="J66" s="122" t="s">
        <v>154</v>
      </c>
      <c r="K66" s="122" t="s">
        <v>154</v>
      </c>
      <c r="L66" s="123" t="s">
        <v>154</v>
      </c>
      <c r="P66" s="129">
        <f t="shared" si="1"/>
        <v>0</v>
      </c>
    </row>
    <row r="67" spans="1:16" x14ac:dyDescent="0.25">
      <c r="A67" s="188" t="s">
        <v>70</v>
      </c>
      <c r="B67" s="126" t="s">
        <v>226</v>
      </c>
      <c r="C67" s="194" t="s">
        <v>211</v>
      </c>
      <c r="D67" s="119" t="s">
        <v>227</v>
      </c>
      <c r="E67" s="121" t="s">
        <v>62</v>
      </c>
      <c r="F67" s="129" t="s">
        <v>593</v>
      </c>
      <c r="G67" s="129" t="s">
        <v>74</v>
      </c>
      <c r="H67" s="122">
        <f t="shared" si="14"/>
        <v>0</v>
      </c>
      <c r="I67" s="122">
        <f t="shared" si="13"/>
        <v>0</v>
      </c>
      <c r="J67" s="122">
        <v>2</v>
      </c>
      <c r="K67" s="122">
        <f>IF($E67="ne","-",)</f>
        <v>0</v>
      </c>
      <c r="L67" s="123">
        <f>IF($E67="ne","-",H67+I67+J67+K67)</f>
        <v>2</v>
      </c>
      <c r="P67" s="129">
        <f t="shared" si="1"/>
        <v>0</v>
      </c>
    </row>
    <row r="68" spans="1:16" x14ac:dyDescent="0.25">
      <c r="A68" s="188" t="s">
        <v>70</v>
      </c>
      <c r="B68" s="161" t="s">
        <v>228</v>
      </c>
      <c r="C68" s="129" t="s">
        <v>211</v>
      </c>
      <c r="D68" s="129" t="s">
        <v>229</v>
      </c>
      <c r="E68" s="121" t="s">
        <v>62</v>
      </c>
      <c r="F68" s="161" t="s">
        <v>594</v>
      </c>
      <c r="G68" s="129" t="s">
        <v>74</v>
      </c>
      <c r="H68" s="129">
        <v>0</v>
      </c>
      <c r="I68" s="129">
        <v>0</v>
      </c>
      <c r="J68" s="129">
        <v>4</v>
      </c>
      <c r="K68" s="129">
        <v>0</v>
      </c>
      <c r="L68" s="123">
        <f>IF($E68="ne","-",H68+I68+J68+K68)</f>
        <v>4</v>
      </c>
      <c r="P68" s="129">
        <f t="shared" si="1"/>
        <v>0</v>
      </c>
    </row>
    <row r="69" spans="1:16" x14ac:dyDescent="0.25">
      <c r="A69" s="188" t="s">
        <v>70</v>
      </c>
      <c r="B69" s="126" t="s">
        <v>71</v>
      </c>
      <c r="C69" s="194" t="s">
        <v>211</v>
      </c>
      <c r="D69" s="119" t="s">
        <v>73</v>
      </c>
      <c r="E69" s="121" t="s">
        <v>62</v>
      </c>
      <c r="F69" s="161" t="s">
        <v>547</v>
      </c>
      <c r="G69" s="129" t="s">
        <v>74</v>
      </c>
      <c r="H69" s="122">
        <v>0</v>
      </c>
      <c r="I69" s="122">
        <v>0</v>
      </c>
      <c r="J69" s="122">
        <v>0</v>
      </c>
      <c r="K69" s="122">
        <v>0</v>
      </c>
      <c r="L69" s="123">
        <v>1</v>
      </c>
      <c r="P69" s="129">
        <f t="shared" si="1"/>
        <v>0</v>
      </c>
    </row>
    <row r="70" spans="1:16" s="134" customFormat="1" x14ac:dyDescent="0.25">
      <c r="A70" s="196" t="s">
        <v>70</v>
      </c>
      <c r="B70" s="200" t="s">
        <v>79</v>
      </c>
      <c r="C70" s="201" t="s">
        <v>211</v>
      </c>
      <c r="D70" s="202" t="s">
        <v>80</v>
      </c>
      <c r="E70" s="203" t="s">
        <v>62</v>
      </c>
      <c r="F70" s="106" t="s">
        <v>230</v>
      </c>
      <c r="G70" s="109" t="s">
        <v>74</v>
      </c>
      <c r="H70" s="204">
        <v>0</v>
      </c>
      <c r="I70" s="204">
        <v>0</v>
      </c>
      <c r="J70" s="204">
        <v>0</v>
      </c>
      <c r="K70" s="204">
        <v>0</v>
      </c>
      <c r="L70" s="205">
        <v>1</v>
      </c>
      <c r="M70" s="109"/>
      <c r="O70" s="109"/>
      <c r="P70" s="109">
        <f t="shared" si="1"/>
        <v>0</v>
      </c>
    </row>
    <row r="71" spans="1:16" x14ac:dyDescent="0.25">
      <c r="A71" s="188" t="s">
        <v>70</v>
      </c>
      <c r="B71" s="126" t="s">
        <v>231</v>
      </c>
      <c r="C71" s="127" t="s">
        <v>232</v>
      </c>
      <c r="D71" s="119" t="s">
        <v>233</v>
      </c>
      <c r="E71" s="121" t="s">
        <v>62</v>
      </c>
      <c r="F71" s="129" t="s">
        <v>441</v>
      </c>
      <c r="G71" s="129" t="s">
        <v>74</v>
      </c>
      <c r="H71" s="122">
        <f t="shared" ref="H71:K76" si="15">IF($E71="ne","-",)</f>
        <v>0</v>
      </c>
      <c r="I71" s="122">
        <f t="shared" si="15"/>
        <v>0</v>
      </c>
      <c r="J71" s="122">
        <f t="shared" si="15"/>
        <v>0</v>
      </c>
      <c r="K71" s="122">
        <f t="shared" si="15"/>
        <v>0</v>
      </c>
      <c r="L71" s="123">
        <v>1</v>
      </c>
      <c r="P71" s="129">
        <f t="shared" si="1"/>
        <v>0</v>
      </c>
    </row>
    <row r="72" spans="1:16" x14ac:dyDescent="0.25">
      <c r="A72" s="188" t="s">
        <v>70</v>
      </c>
      <c r="B72" s="126" t="s">
        <v>234</v>
      </c>
      <c r="C72" s="129" t="s">
        <v>235</v>
      </c>
      <c r="D72" s="119" t="s">
        <v>236</v>
      </c>
      <c r="E72" s="121" t="s">
        <v>62</v>
      </c>
      <c r="F72" s="129" t="s">
        <v>511</v>
      </c>
      <c r="G72" s="129" t="s">
        <v>74</v>
      </c>
      <c r="H72" s="122">
        <f t="shared" si="15"/>
        <v>0</v>
      </c>
      <c r="I72" s="122">
        <f t="shared" si="15"/>
        <v>0</v>
      </c>
      <c r="J72" s="122">
        <f t="shared" si="15"/>
        <v>0</v>
      </c>
      <c r="K72" s="122">
        <f t="shared" si="15"/>
        <v>0</v>
      </c>
      <c r="L72" s="123">
        <v>1</v>
      </c>
      <c r="P72" s="129">
        <f t="shared" si="1"/>
        <v>0</v>
      </c>
    </row>
    <row r="73" spans="1:16" x14ac:dyDescent="0.25">
      <c r="A73" s="188" t="s">
        <v>70</v>
      </c>
      <c r="B73" s="126" t="s">
        <v>237</v>
      </c>
      <c r="C73" s="129" t="s">
        <v>232</v>
      </c>
      <c r="D73" s="119" t="s">
        <v>238</v>
      </c>
      <c r="E73" s="121" t="s">
        <v>62</v>
      </c>
      <c r="F73" s="129" t="s">
        <v>595</v>
      </c>
      <c r="G73" s="129" t="s">
        <v>74</v>
      </c>
      <c r="H73" s="122">
        <f t="shared" si="15"/>
        <v>0</v>
      </c>
      <c r="I73" s="122">
        <f t="shared" si="15"/>
        <v>0</v>
      </c>
      <c r="J73" s="122">
        <f t="shared" si="15"/>
        <v>0</v>
      </c>
      <c r="K73" s="122">
        <f t="shared" si="15"/>
        <v>0</v>
      </c>
      <c r="L73" s="123">
        <v>1</v>
      </c>
      <c r="P73" s="129">
        <f t="shared" si="1"/>
        <v>0</v>
      </c>
    </row>
    <row r="74" spans="1:16" s="134" customFormat="1" x14ac:dyDescent="0.25">
      <c r="A74" s="196" t="s">
        <v>70</v>
      </c>
      <c r="B74" s="133" t="s">
        <v>239</v>
      </c>
      <c r="C74" s="134" t="s">
        <v>232</v>
      </c>
      <c r="D74" s="135" t="s">
        <v>240</v>
      </c>
      <c r="E74" s="136" t="s">
        <v>62</v>
      </c>
      <c r="F74" s="134" t="s">
        <v>441</v>
      </c>
      <c r="G74" s="134" t="s">
        <v>74</v>
      </c>
      <c r="H74" s="137">
        <f t="shared" si="15"/>
        <v>0</v>
      </c>
      <c r="I74" s="137">
        <f t="shared" si="15"/>
        <v>0</v>
      </c>
      <c r="J74" s="137">
        <f t="shared" si="15"/>
        <v>0</v>
      </c>
      <c r="K74" s="137">
        <f t="shared" si="15"/>
        <v>0</v>
      </c>
      <c r="L74" s="138">
        <v>1</v>
      </c>
      <c r="P74" s="134">
        <f t="shared" si="1"/>
        <v>0</v>
      </c>
    </row>
    <row r="75" spans="1:16" x14ac:dyDescent="0.25">
      <c r="A75" s="188" t="s">
        <v>70</v>
      </c>
      <c r="B75" s="126" t="s">
        <v>241</v>
      </c>
      <c r="C75" s="127" t="s">
        <v>242</v>
      </c>
      <c r="D75" s="119" t="s">
        <v>243</v>
      </c>
      <c r="E75" s="121" t="s">
        <v>62</v>
      </c>
      <c r="F75" s="129" t="s">
        <v>596</v>
      </c>
      <c r="G75" s="129" t="s">
        <v>74</v>
      </c>
      <c r="H75" s="122">
        <f t="shared" si="15"/>
        <v>0</v>
      </c>
      <c r="I75" s="122">
        <f t="shared" si="15"/>
        <v>0</v>
      </c>
      <c r="J75" s="122">
        <f t="shared" si="15"/>
        <v>0</v>
      </c>
      <c r="K75" s="122">
        <f t="shared" si="15"/>
        <v>0</v>
      </c>
      <c r="L75" s="123">
        <v>1</v>
      </c>
      <c r="P75" s="129">
        <f t="shared" si="1"/>
        <v>0</v>
      </c>
    </row>
    <row r="76" spans="1:16" x14ac:dyDescent="0.25">
      <c r="A76" s="188" t="s">
        <v>70</v>
      </c>
      <c r="B76" s="126" t="s">
        <v>244</v>
      </c>
      <c r="C76" s="129" t="s">
        <v>242</v>
      </c>
      <c r="D76" s="119" t="s">
        <v>245</v>
      </c>
      <c r="E76" s="121" t="s">
        <v>62</v>
      </c>
      <c r="F76" s="161" t="s">
        <v>597</v>
      </c>
      <c r="G76" s="129" t="s">
        <v>74</v>
      </c>
      <c r="H76" s="122">
        <f t="shared" si="15"/>
        <v>0</v>
      </c>
      <c r="I76" s="122">
        <f t="shared" si="15"/>
        <v>0</v>
      </c>
      <c r="J76" s="122">
        <f t="shared" si="15"/>
        <v>0</v>
      </c>
      <c r="K76" s="122">
        <f t="shared" si="15"/>
        <v>0</v>
      </c>
      <c r="L76" s="123">
        <v>1</v>
      </c>
      <c r="P76" s="129">
        <f t="shared" ref="P76:P87" si="16">IFERROR(N76+O76,"-")</f>
        <v>0</v>
      </c>
    </row>
    <row r="77" spans="1:16" s="134" customFormat="1" x14ac:dyDescent="0.25">
      <c r="A77" s="196" t="s">
        <v>70</v>
      </c>
      <c r="B77" s="133" t="s">
        <v>246</v>
      </c>
      <c r="C77" s="134" t="s">
        <v>242</v>
      </c>
      <c r="D77" s="135" t="s">
        <v>247</v>
      </c>
      <c r="E77" s="136" t="s">
        <v>62</v>
      </c>
      <c r="F77" s="134" t="s">
        <v>505</v>
      </c>
      <c r="G77" s="134" t="s">
        <v>74</v>
      </c>
      <c r="H77" s="137">
        <v>1</v>
      </c>
      <c r="I77" s="137">
        <f t="shared" ref="I77:K81" si="17">IF($E77="ne","-",)</f>
        <v>0</v>
      </c>
      <c r="J77" s="137">
        <f t="shared" si="17"/>
        <v>0</v>
      </c>
      <c r="K77" s="137">
        <f t="shared" si="17"/>
        <v>0</v>
      </c>
      <c r="L77" s="138">
        <f>IF($E77="ne","-",H77+I77+J77+K77)</f>
        <v>1</v>
      </c>
      <c r="P77" s="134">
        <f t="shared" si="16"/>
        <v>0</v>
      </c>
    </row>
    <row r="78" spans="1:16" x14ac:dyDescent="0.25">
      <c r="A78" s="188" t="s">
        <v>70</v>
      </c>
      <c r="B78" s="126" t="s">
        <v>248</v>
      </c>
      <c r="C78" s="127" t="s">
        <v>249</v>
      </c>
      <c r="D78" s="119" t="s">
        <v>250</v>
      </c>
      <c r="E78" s="121" t="s">
        <v>62</v>
      </c>
      <c r="F78" s="161" t="s">
        <v>598</v>
      </c>
      <c r="G78" s="129" t="s">
        <v>74</v>
      </c>
      <c r="H78" s="122">
        <f t="shared" ref="H78:H86" si="18">IF($E78="ne","-",)</f>
        <v>0</v>
      </c>
      <c r="I78" s="122">
        <f t="shared" si="17"/>
        <v>0</v>
      </c>
      <c r="J78" s="122">
        <f t="shared" si="17"/>
        <v>0</v>
      </c>
      <c r="K78" s="122">
        <f t="shared" si="17"/>
        <v>0</v>
      </c>
      <c r="L78" s="123">
        <v>1</v>
      </c>
      <c r="P78" s="129">
        <f t="shared" si="16"/>
        <v>0</v>
      </c>
    </row>
    <row r="79" spans="1:16" x14ac:dyDescent="0.25">
      <c r="A79" s="188" t="s">
        <v>70</v>
      </c>
      <c r="B79" s="126" t="s">
        <v>251</v>
      </c>
      <c r="C79" s="129" t="s">
        <v>249</v>
      </c>
      <c r="D79" s="119" t="s">
        <v>252</v>
      </c>
      <c r="E79" s="121" t="s">
        <v>62</v>
      </c>
      <c r="F79" s="161" t="s">
        <v>599</v>
      </c>
      <c r="G79" s="129" t="s">
        <v>74</v>
      </c>
      <c r="H79" s="122">
        <f t="shared" si="18"/>
        <v>0</v>
      </c>
      <c r="I79" s="122">
        <f t="shared" si="17"/>
        <v>0</v>
      </c>
      <c r="J79" s="122">
        <f t="shared" si="17"/>
        <v>0</v>
      </c>
      <c r="K79" s="122">
        <f t="shared" si="17"/>
        <v>0</v>
      </c>
      <c r="L79" s="123">
        <v>1</v>
      </c>
      <c r="P79" s="129">
        <f t="shared" si="16"/>
        <v>0</v>
      </c>
    </row>
    <row r="80" spans="1:16" s="134" customFormat="1" x14ac:dyDescent="0.25">
      <c r="A80" s="196" t="s">
        <v>70</v>
      </c>
      <c r="B80" s="133" t="s">
        <v>253</v>
      </c>
      <c r="C80" s="134" t="s">
        <v>249</v>
      </c>
      <c r="D80" s="135" t="s">
        <v>254</v>
      </c>
      <c r="E80" s="136" t="s">
        <v>62</v>
      </c>
      <c r="F80" s="206" t="s">
        <v>431</v>
      </c>
      <c r="G80" s="134" t="s">
        <v>74</v>
      </c>
      <c r="H80" s="137">
        <f t="shared" si="18"/>
        <v>0</v>
      </c>
      <c r="I80" s="137">
        <f t="shared" si="17"/>
        <v>0</v>
      </c>
      <c r="J80" s="137">
        <f t="shared" si="17"/>
        <v>0</v>
      </c>
      <c r="K80" s="137">
        <f t="shared" si="17"/>
        <v>0</v>
      </c>
      <c r="L80" s="138">
        <v>1</v>
      </c>
      <c r="P80" s="134">
        <f t="shared" si="16"/>
        <v>0</v>
      </c>
    </row>
    <row r="81" spans="1:17" x14ac:dyDescent="0.25">
      <c r="A81" s="188" t="s">
        <v>70</v>
      </c>
      <c r="B81" s="126" t="s">
        <v>255</v>
      </c>
      <c r="C81" s="127" t="s">
        <v>256</v>
      </c>
      <c r="D81" s="119" t="s">
        <v>257</v>
      </c>
      <c r="E81" s="121" t="s">
        <v>62</v>
      </c>
      <c r="F81" s="161" t="s">
        <v>600</v>
      </c>
      <c r="G81" s="129" t="s">
        <v>74</v>
      </c>
      <c r="H81" s="122">
        <f t="shared" si="18"/>
        <v>0</v>
      </c>
      <c r="I81" s="122">
        <f t="shared" si="17"/>
        <v>0</v>
      </c>
      <c r="J81" s="122">
        <f t="shared" si="17"/>
        <v>0</v>
      </c>
      <c r="K81" s="122">
        <f t="shared" si="17"/>
        <v>0</v>
      </c>
      <c r="L81" s="123">
        <v>1</v>
      </c>
      <c r="P81" s="129">
        <f t="shared" si="16"/>
        <v>0</v>
      </c>
    </row>
    <row r="82" spans="1:17" x14ac:dyDescent="0.25">
      <c r="A82" s="188" t="s">
        <v>70</v>
      </c>
      <c r="B82" s="126" t="s">
        <v>258</v>
      </c>
      <c r="C82" s="127" t="s">
        <v>256</v>
      </c>
      <c r="D82" s="119" t="s">
        <v>259</v>
      </c>
      <c r="E82" s="121" t="s">
        <v>62</v>
      </c>
      <c r="F82" s="161" t="s">
        <v>556</v>
      </c>
      <c r="G82" s="129" t="s">
        <v>74</v>
      </c>
      <c r="H82" s="122">
        <f t="shared" si="18"/>
        <v>0</v>
      </c>
      <c r="I82" s="122">
        <v>2</v>
      </c>
      <c r="J82" s="122">
        <f t="shared" ref="J82:K86" si="19">IF($E82="ne","-",)</f>
        <v>0</v>
      </c>
      <c r="K82" s="122">
        <f t="shared" si="19"/>
        <v>0</v>
      </c>
      <c r="L82" s="123">
        <f>IF($E82="ne","-",H82+I82+J82+K82)</f>
        <v>2</v>
      </c>
      <c r="P82" s="129">
        <f t="shared" si="16"/>
        <v>0</v>
      </c>
    </row>
    <row r="83" spans="1:17" s="134" customFormat="1" x14ac:dyDescent="0.25">
      <c r="A83" s="196" t="s">
        <v>70</v>
      </c>
      <c r="B83" s="197" t="s">
        <v>260</v>
      </c>
      <c r="C83" s="192" t="s">
        <v>256</v>
      </c>
      <c r="D83" s="192" t="s">
        <v>261</v>
      </c>
      <c r="E83" s="136" t="s">
        <v>62</v>
      </c>
      <c r="F83" s="206" t="s">
        <v>431</v>
      </c>
      <c r="G83" s="134" t="s">
        <v>74</v>
      </c>
      <c r="H83" s="137">
        <f t="shared" si="18"/>
        <v>0</v>
      </c>
      <c r="I83" s="137">
        <f>IF($E83="ne","-",)</f>
        <v>0</v>
      </c>
      <c r="J83" s="137">
        <f t="shared" si="19"/>
        <v>0</v>
      </c>
      <c r="K83" s="137">
        <f t="shared" si="19"/>
        <v>0</v>
      </c>
      <c r="L83" s="138">
        <v>1</v>
      </c>
      <c r="P83" s="134">
        <f t="shared" si="16"/>
        <v>0</v>
      </c>
    </row>
    <row r="84" spans="1:17" s="134" customFormat="1" x14ac:dyDescent="0.25">
      <c r="A84" s="196" t="s">
        <v>70</v>
      </c>
      <c r="B84" s="197" t="s">
        <v>262</v>
      </c>
      <c r="C84" s="191" t="s">
        <v>263</v>
      </c>
      <c r="D84" s="192" t="s">
        <v>264</v>
      </c>
      <c r="E84" s="136" t="s">
        <v>62</v>
      </c>
      <c r="F84" s="206" t="s">
        <v>518</v>
      </c>
      <c r="G84" s="134" t="s">
        <v>74</v>
      </c>
      <c r="H84" s="137">
        <f t="shared" si="18"/>
        <v>0</v>
      </c>
      <c r="I84" s="137">
        <f>IF($E84="ne","-",)</f>
        <v>0</v>
      </c>
      <c r="J84" s="137">
        <f t="shared" si="19"/>
        <v>0</v>
      </c>
      <c r="K84" s="137">
        <f t="shared" si="19"/>
        <v>0</v>
      </c>
      <c r="L84" s="138">
        <v>1</v>
      </c>
      <c r="P84" s="134">
        <f t="shared" si="16"/>
        <v>0</v>
      </c>
    </row>
    <row r="85" spans="1:17" s="155" customFormat="1" x14ac:dyDescent="0.25">
      <c r="A85" s="207" t="s">
        <v>70</v>
      </c>
      <c r="B85" s="151" t="s">
        <v>265</v>
      </c>
      <c r="C85" s="152" t="s">
        <v>174</v>
      </c>
      <c r="D85" s="152" t="s">
        <v>174</v>
      </c>
      <c r="E85" s="153" t="s">
        <v>62</v>
      </c>
      <c r="F85" s="134" t="s">
        <v>601</v>
      </c>
      <c r="G85" s="155" t="s">
        <v>74</v>
      </c>
      <c r="H85" s="156">
        <f t="shared" si="18"/>
        <v>0</v>
      </c>
      <c r="I85" s="156">
        <f>IF($E85="ne","-",)</f>
        <v>0</v>
      </c>
      <c r="J85" s="156">
        <f t="shared" si="19"/>
        <v>0</v>
      </c>
      <c r="K85" s="156">
        <f t="shared" si="19"/>
        <v>0</v>
      </c>
      <c r="L85" s="138">
        <v>1</v>
      </c>
      <c r="P85" s="155">
        <f t="shared" si="16"/>
        <v>0</v>
      </c>
    </row>
    <row r="86" spans="1:17" x14ac:dyDescent="0.25">
      <c r="A86" s="207" t="s">
        <v>70</v>
      </c>
      <c r="B86" s="151" t="s">
        <v>266</v>
      </c>
      <c r="C86" s="183" t="s">
        <v>176</v>
      </c>
      <c r="D86" s="183" t="s">
        <v>267</v>
      </c>
      <c r="E86" s="153" t="s">
        <v>62</v>
      </c>
      <c r="F86" s="208" t="s">
        <v>602</v>
      </c>
      <c r="G86" s="155" t="s">
        <v>74</v>
      </c>
      <c r="H86" s="155">
        <f t="shared" si="18"/>
        <v>0</v>
      </c>
      <c r="I86" s="155">
        <f>IF($E86="ne","-",)</f>
        <v>0</v>
      </c>
      <c r="J86" s="155">
        <f t="shared" si="19"/>
        <v>0</v>
      </c>
      <c r="K86" s="155">
        <f t="shared" si="19"/>
        <v>0</v>
      </c>
      <c r="L86" s="160">
        <v>1</v>
      </c>
      <c r="M86" s="155"/>
      <c r="N86" s="155"/>
      <c r="O86" s="155"/>
      <c r="P86" s="155">
        <f t="shared" si="16"/>
        <v>0</v>
      </c>
      <c r="Q86" s="155"/>
    </row>
    <row r="87" spans="1:17" x14ac:dyDescent="0.25">
      <c r="A87" s="207" t="s">
        <v>70</v>
      </c>
      <c r="B87" s="209" t="s">
        <v>81</v>
      </c>
      <c r="C87" s="210" t="s">
        <v>268</v>
      </c>
      <c r="D87" s="210" t="s">
        <v>269</v>
      </c>
      <c r="E87" s="211" t="s">
        <v>62</v>
      </c>
      <c r="F87" s="107" t="s">
        <v>270</v>
      </c>
      <c r="G87" s="110" t="s">
        <v>74</v>
      </c>
      <c r="H87" s="110">
        <v>0</v>
      </c>
      <c r="I87" s="110">
        <v>0</v>
      </c>
      <c r="J87" s="110">
        <v>0</v>
      </c>
      <c r="K87" s="110">
        <v>0</v>
      </c>
      <c r="L87" s="212">
        <v>1</v>
      </c>
      <c r="M87" s="110"/>
      <c r="N87" s="110"/>
      <c r="O87" s="110"/>
      <c r="P87" s="110">
        <f t="shared" si="16"/>
        <v>0</v>
      </c>
      <c r="Q87" s="155"/>
    </row>
    <row r="88" spans="1:17" s="146" customFormat="1" ht="15" thickBot="1" x14ac:dyDescent="0.3">
      <c r="A88" s="188" t="s">
        <v>70</v>
      </c>
      <c r="B88" s="119"/>
      <c r="C88" s="129" t="s">
        <v>84</v>
      </c>
      <c r="D88" s="129"/>
      <c r="E88" s="121" t="s">
        <v>62</v>
      </c>
      <c r="F88" s="161" t="s">
        <v>280</v>
      </c>
      <c r="G88" s="129"/>
      <c r="H88" s="129"/>
      <c r="I88" s="129"/>
      <c r="J88" s="129"/>
      <c r="K88" s="129"/>
      <c r="L88" s="123">
        <v>1</v>
      </c>
      <c r="M88" s="218">
        <f>'SOUHRN A KONSTANTY'!$P$7</f>
        <v>0</v>
      </c>
      <c r="N88" s="129"/>
      <c r="O88" s="129"/>
      <c r="P88" s="130">
        <f>SUM(P45:P86)*M88</f>
        <v>0</v>
      </c>
      <c r="Q88" s="129" t="str">
        <f>M88*100&amp;"% z celkových IN dané profese"</f>
        <v>0% z celkových IN dané profese</v>
      </c>
    </row>
    <row r="89" spans="1:17" ht="15" thickBot="1" x14ac:dyDescent="0.3">
      <c r="A89" s="213" t="s">
        <v>70</v>
      </c>
      <c r="B89" s="163"/>
      <c r="C89" s="164" t="s">
        <v>69</v>
      </c>
      <c r="D89" s="164"/>
      <c r="E89" s="165"/>
      <c r="F89" s="214"/>
      <c r="G89" s="164"/>
      <c r="H89" s="164"/>
      <c r="I89" s="164"/>
      <c r="J89" s="164"/>
      <c r="K89" s="164"/>
      <c r="L89" s="166"/>
      <c r="M89" s="164"/>
      <c r="N89" s="164"/>
      <c r="O89" s="164"/>
      <c r="P89" s="219">
        <f>_xlfn.CEILING.MATH(SUBTOTAL(109,P45:P88),10)</f>
        <v>0</v>
      </c>
    </row>
    <row r="90" spans="1:17" x14ac:dyDescent="0.25">
      <c r="A90" s="114"/>
      <c r="B90" s="215"/>
      <c r="C90" s="114"/>
      <c r="D90" s="114"/>
      <c r="E90" s="113"/>
      <c r="F90" s="216"/>
      <c r="G90" s="114"/>
      <c r="H90" s="114"/>
      <c r="I90" s="114"/>
      <c r="J90" s="114"/>
      <c r="K90" s="114"/>
      <c r="L90" s="123"/>
      <c r="M90" s="114"/>
      <c r="N90" s="114"/>
      <c r="O90" s="114"/>
      <c r="P90" s="220"/>
    </row>
    <row r="91" spans="1:17" x14ac:dyDescent="0.25">
      <c r="A91" s="221" t="s">
        <v>86</v>
      </c>
      <c r="B91" s="159"/>
      <c r="C91" s="155" t="s">
        <v>271</v>
      </c>
      <c r="D91" s="155"/>
      <c r="E91" s="153" t="s">
        <v>62</v>
      </c>
      <c r="F91" s="208"/>
      <c r="G91" s="155">
        <v>1</v>
      </c>
      <c r="H91" s="155"/>
      <c r="I91" s="155"/>
      <c r="J91" s="155"/>
      <c r="K91" s="155"/>
      <c r="L91" s="155"/>
      <c r="M91" s="155"/>
      <c r="N91" s="155"/>
      <c r="O91" s="155"/>
      <c r="P91" s="155"/>
      <c r="Q91" s="155"/>
    </row>
    <row r="92" spans="1:17" x14ac:dyDescent="0.25">
      <c r="A92" s="221" t="s">
        <v>86</v>
      </c>
      <c r="B92" s="159"/>
      <c r="C92" s="155" t="s">
        <v>272</v>
      </c>
      <c r="D92" s="155"/>
      <c r="E92" s="153" t="s">
        <v>62</v>
      </c>
      <c r="F92" s="208" t="s">
        <v>273</v>
      </c>
      <c r="G92" s="155">
        <v>1</v>
      </c>
      <c r="H92" s="155"/>
      <c r="I92" s="155"/>
      <c r="J92" s="155"/>
      <c r="K92" s="155"/>
      <c r="L92" s="155"/>
      <c r="M92" s="155"/>
      <c r="N92" s="155"/>
      <c r="O92" s="155"/>
      <c r="P92" s="155"/>
      <c r="Q92" s="134"/>
    </row>
    <row r="93" spans="1:17" x14ac:dyDescent="0.25">
      <c r="A93" s="221" t="s">
        <v>86</v>
      </c>
      <c r="B93" s="159"/>
      <c r="C93" s="155" t="s">
        <v>274</v>
      </c>
      <c r="D93" s="155"/>
      <c r="E93" s="153" t="s">
        <v>62</v>
      </c>
      <c r="F93" s="208"/>
      <c r="G93" s="155">
        <v>1</v>
      </c>
      <c r="H93" s="155"/>
      <c r="I93" s="155"/>
      <c r="J93" s="155"/>
      <c r="K93" s="155"/>
      <c r="L93" s="155"/>
      <c r="M93" s="155"/>
      <c r="N93" s="155"/>
      <c r="O93" s="155"/>
      <c r="P93" s="155"/>
      <c r="Q93" s="134"/>
    </row>
    <row r="94" spans="1:17" x14ac:dyDescent="0.25">
      <c r="A94" s="222" t="s">
        <v>86</v>
      </c>
      <c r="B94" s="143"/>
      <c r="C94" s="146" t="s">
        <v>275</v>
      </c>
      <c r="D94" s="146"/>
      <c r="E94" s="144" t="s">
        <v>62</v>
      </c>
      <c r="F94" s="223" t="s">
        <v>276</v>
      </c>
      <c r="G94" s="146" t="s">
        <v>74</v>
      </c>
      <c r="H94" s="146"/>
      <c r="I94" s="146"/>
      <c r="J94" s="146"/>
      <c r="K94" s="146"/>
      <c r="L94" s="146"/>
      <c r="M94" s="146"/>
      <c r="N94" s="146"/>
      <c r="O94" s="146"/>
      <c r="P94" s="146"/>
      <c r="Q94" s="134"/>
    </row>
    <row r="95" spans="1:17" ht="15" thickBot="1" x14ac:dyDescent="0.3">
      <c r="A95" s="222" t="s">
        <v>86</v>
      </c>
      <c r="B95" s="143"/>
      <c r="C95" s="146" t="s">
        <v>277</v>
      </c>
      <c r="D95" s="146"/>
      <c r="E95" s="144" t="s">
        <v>62</v>
      </c>
      <c r="F95" s="195"/>
      <c r="G95" s="146">
        <v>1</v>
      </c>
      <c r="H95" s="146"/>
      <c r="I95" s="146"/>
      <c r="J95" s="146"/>
      <c r="K95" s="146"/>
      <c r="L95" s="146"/>
      <c r="M95" s="146"/>
      <c r="N95" s="146"/>
      <c r="O95" s="146"/>
      <c r="P95" s="146"/>
      <c r="Q95" s="134"/>
    </row>
    <row r="96" spans="1:17" ht="15" thickBot="1" x14ac:dyDescent="0.3">
      <c r="A96" s="224" t="s">
        <v>86</v>
      </c>
      <c r="B96" s="163"/>
      <c r="C96" s="164" t="s">
        <v>69</v>
      </c>
      <c r="D96" s="164"/>
      <c r="E96" s="165"/>
      <c r="F96" s="214"/>
      <c r="G96" s="164"/>
      <c r="H96" s="164"/>
      <c r="I96" s="164"/>
      <c r="J96" s="164"/>
      <c r="K96" s="164"/>
      <c r="L96" s="166"/>
      <c r="M96" s="164"/>
      <c r="N96" s="164"/>
      <c r="O96" s="164"/>
      <c r="P96" s="219">
        <f>_xlfn.CEILING.MATH(SUM(P91:P95),10)</f>
        <v>0</v>
      </c>
    </row>
    <row r="97" spans="1:16" ht="15" thickBot="1" x14ac:dyDescent="0.3">
      <c r="F97" s="161"/>
    </row>
    <row r="98" spans="1:16" ht="15" thickBot="1" x14ac:dyDescent="0.3">
      <c r="A98" s="364" t="s">
        <v>10</v>
      </c>
      <c r="B98" s="365"/>
      <c r="C98" s="365"/>
      <c r="D98" s="365"/>
      <c r="E98" s="365"/>
      <c r="F98" s="366"/>
      <c r="G98" s="365"/>
      <c r="H98" s="365"/>
      <c r="I98" s="365"/>
      <c r="J98" s="365"/>
      <c r="K98" s="365"/>
      <c r="L98" s="365"/>
      <c r="M98" s="365"/>
      <c r="N98" s="365"/>
      <c r="O98" s="365"/>
      <c r="P98" s="225">
        <f>(P89+P43+P27+P96)</f>
        <v>0</v>
      </c>
    </row>
    <row r="99" spans="1:16" ht="15" thickBot="1" x14ac:dyDescent="0.3">
      <c r="F99" s="161"/>
    </row>
    <row r="100" spans="1:16" ht="15" thickBot="1" x14ac:dyDescent="0.3">
      <c r="A100" s="226"/>
      <c r="B100" s="227"/>
      <c r="C100" s="217" t="s">
        <v>866</v>
      </c>
      <c r="D100" s="217"/>
      <c r="E100" s="228"/>
      <c r="F100" s="229"/>
      <c r="G100" s="217"/>
      <c r="H100" s="217"/>
      <c r="I100" s="217"/>
      <c r="J100" s="217"/>
      <c r="K100" s="217"/>
      <c r="L100" s="217"/>
      <c r="M100" s="217"/>
      <c r="N100" s="217"/>
      <c r="O100" s="217"/>
      <c r="P100" s="230">
        <f>'SOUHRN A KONSTANTY'!$P$4</f>
        <v>0</v>
      </c>
    </row>
    <row r="101" spans="1:16" ht="15" thickBot="1" x14ac:dyDescent="0.3">
      <c r="F101" s="161"/>
    </row>
    <row r="102" spans="1:16" ht="15" thickBot="1" x14ac:dyDescent="0.3">
      <c r="A102" s="364" t="s">
        <v>92</v>
      </c>
      <c r="B102" s="365"/>
      <c r="C102" s="365"/>
      <c r="D102" s="365"/>
      <c r="E102" s="365"/>
      <c r="F102" s="366"/>
      <c r="G102" s="365"/>
      <c r="H102" s="365"/>
      <c r="I102" s="365"/>
      <c r="J102" s="365"/>
      <c r="K102" s="365"/>
      <c r="L102" s="365"/>
      <c r="M102" s="365"/>
      <c r="N102" s="365"/>
      <c r="O102" s="365"/>
      <c r="P102" s="225">
        <f>P98*(1+P100)</f>
        <v>0</v>
      </c>
    </row>
    <row r="103" spans="1:16" x14ac:dyDescent="0.25">
      <c r="F103" s="161"/>
    </row>
    <row r="104" spans="1:16" x14ac:dyDescent="0.25">
      <c r="F104" s="161"/>
    </row>
    <row r="105" spans="1:16" x14ac:dyDescent="0.25">
      <c r="B105" s="126"/>
    </row>
  </sheetData>
  <autoFilter ref="B2:M2" xr:uid="{B02B0A38-8D86-4EC5-97E5-74611AC52359}"/>
  <mergeCells count="3">
    <mergeCell ref="H1:L1"/>
    <mergeCell ref="A98:O98"/>
    <mergeCell ref="A102:O102"/>
  </mergeCells>
  <conditionalFormatting sqref="E5:E23 E26:E27">
    <cfRule type="cellIs" dxfId="177" priority="51" operator="equal">
      <formula>"ne"</formula>
    </cfRule>
  </conditionalFormatting>
  <conditionalFormatting sqref="E29:E43">
    <cfRule type="cellIs" dxfId="176" priority="44" operator="equal">
      <formula>"ne"</formula>
    </cfRule>
  </conditionalFormatting>
  <conditionalFormatting sqref="E45:E67">
    <cfRule type="cellIs" dxfId="175" priority="67" operator="equal">
      <formula>"ne"</formula>
    </cfRule>
  </conditionalFormatting>
  <conditionalFormatting sqref="E69 E71:E91">
    <cfRule type="cellIs" dxfId="174" priority="25" operator="equal">
      <formula>"ne"</formula>
    </cfRule>
  </conditionalFormatting>
  <conditionalFormatting sqref="E96">
    <cfRule type="cellIs" dxfId="173" priority="28" operator="equal">
      <formula>"ne"</formula>
    </cfRule>
  </conditionalFormatting>
  <conditionalFormatting sqref="H3:K5 H29:K41 H45:K67 H9:K23">
    <cfRule type="cellIs" dxfId="172" priority="76" operator="between">
      <formula>0.0001</formula>
      <formula>10000</formula>
    </cfRule>
  </conditionalFormatting>
  <conditionalFormatting sqref="H3:K23 H26:K27">
    <cfRule type="cellIs" dxfId="171" priority="49" operator="equal">
      <formula>"-"</formula>
    </cfRule>
  </conditionalFormatting>
  <conditionalFormatting sqref="H6:K8">
    <cfRule type="cellIs" dxfId="170" priority="64" operator="between">
      <formula>0.0001</formula>
      <formula>1000</formula>
    </cfRule>
  </conditionalFormatting>
  <conditionalFormatting sqref="H26:K27">
    <cfRule type="cellIs" dxfId="169" priority="48" operator="between">
      <formula>0.0001</formula>
      <formula>1000</formula>
    </cfRule>
  </conditionalFormatting>
  <conditionalFormatting sqref="H29:K43">
    <cfRule type="cellIs" dxfId="168" priority="42" operator="equal">
      <formula>"-"</formula>
    </cfRule>
  </conditionalFormatting>
  <conditionalFormatting sqref="H42:K43">
    <cfRule type="cellIs" dxfId="167" priority="41" operator="between">
      <formula>0.0001</formula>
      <formula>1000</formula>
    </cfRule>
  </conditionalFormatting>
  <conditionalFormatting sqref="H45:K67">
    <cfRule type="cellIs" dxfId="166" priority="65" operator="equal">
      <formula>"-"</formula>
    </cfRule>
  </conditionalFormatting>
  <conditionalFormatting sqref="H69:K69 H71:K90">
    <cfRule type="cellIs" dxfId="165" priority="21" operator="between">
      <formula>0.0001</formula>
      <formula>1000</formula>
    </cfRule>
    <cfRule type="cellIs" dxfId="164" priority="22" operator="equal">
      <formula>"-"</formula>
    </cfRule>
  </conditionalFormatting>
  <conditionalFormatting sqref="H96:K96">
    <cfRule type="cellIs" dxfId="163" priority="26" operator="between">
      <formula>0.0001</formula>
      <formula>1000</formula>
    </cfRule>
    <cfRule type="cellIs" dxfId="162" priority="27" operator="equal">
      <formula>"-"</formula>
    </cfRule>
  </conditionalFormatting>
  <conditionalFormatting sqref="L3:L22">
    <cfRule type="cellIs" dxfId="161" priority="66" operator="equal">
      <formula>0</formula>
    </cfRule>
  </conditionalFormatting>
  <conditionalFormatting sqref="L23 L26">
    <cfRule type="cellIs" dxfId="160" priority="50" operator="equal">
      <formula>0</formula>
    </cfRule>
  </conditionalFormatting>
  <conditionalFormatting sqref="L29:L42">
    <cfRule type="cellIs" dxfId="159" priority="43" operator="equal">
      <formula>0</formula>
    </cfRule>
  </conditionalFormatting>
  <conditionalFormatting sqref="L45:L69 L71:L88">
    <cfRule type="cellIs" dxfId="158" priority="37" operator="equal">
      <formula>0</formula>
    </cfRule>
  </conditionalFormatting>
  <conditionalFormatting sqref="E70">
    <cfRule type="cellIs" dxfId="157" priority="20" operator="equal">
      <formula>"ne"</formula>
    </cfRule>
  </conditionalFormatting>
  <conditionalFormatting sqref="H70:K70">
    <cfRule type="cellIs" dxfId="156" priority="18" operator="between">
      <formula>0.0001</formula>
      <formula>1000</formula>
    </cfRule>
    <cfRule type="cellIs" dxfId="155" priority="19" operator="equal">
      <formula>"-"</formula>
    </cfRule>
  </conditionalFormatting>
  <conditionalFormatting sqref="L70">
    <cfRule type="cellIs" dxfId="154" priority="17" operator="equal">
      <formula>0</formula>
    </cfRule>
  </conditionalFormatting>
  <conditionalFormatting sqref="E25">
    <cfRule type="cellIs" dxfId="153" priority="9" operator="equal">
      <formula>"ne"</formula>
    </cfRule>
  </conditionalFormatting>
  <conditionalFormatting sqref="H25:K25">
    <cfRule type="cellIs" dxfId="152" priority="8" operator="equal">
      <formula>"-"</formula>
    </cfRule>
  </conditionalFormatting>
  <conditionalFormatting sqref="H25:K25">
    <cfRule type="cellIs" dxfId="151" priority="10" operator="between">
      <formula>0.0001</formula>
      <formula>1000</formula>
    </cfRule>
  </conditionalFormatting>
  <conditionalFormatting sqref="E24:E25">
    <cfRule type="cellIs" dxfId="150" priority="7" operator="equal">
      <formula>"ne"</formula>
    </cfRule>
  </conditionalFormatting>
  <conditionalFormatting sqref="H24:K25">
    <cfRule type="cellIs" dxfId="149" priority="5" operator="between">
      <formula>0.0001</formula>
      <formula>1000</formula>
    </cfRule>
    <cfRule type="cellIs" dxfId="148" priority="6" operator="equal">
      <formula>"-"</formula>
    </cfRule>
  </conditionalFormatting>
  <conditionalFormatting sqref="L24:L25">
    <cfRule type="cellIs" dxfId="147" priority="4" operator="equal">
      <formula>0</formula>
    </cfRule>
  </conditionalFormatting>
  <pageMargins left="0.7" right="0.7" top="0.78740157499999996" bottom="0.78740157499999996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124acd-1755-4a65-896d-3c316b371191" xsi:nil="true"/>
    <lcf76f155ced4ddcb4097134ff3c332f xmlns="9b1863c9-a03d-4b60-b3db-fbf3a7d3af4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1CDE974F0C714B8E6DFF07C17D18DC" ma:contentTypeVersion="12" ma:contentTypeDescription="Create a new document." ma:contentTypeScope="" ma:versionID="776a3ad830117355eb983e76e6a11469">
  <xsd:schema xmlns:xsd="http://www.w3.org/2001/XMLSchema" xmlns:xs="http://www.w3.org/2001/XMLSchema" xmlns:p="http://schemas.microsoft.com/office/2006/metadata/properties" xmlns:ns2="9b1863c9-a03d-4b60-b3db-fbf3a7d3af43" xmlns:ns3="22124acd-1755-4a65-896d-3c316b371191" targetNamespace="http://schemas.microsoft.com/office/2006/metadata/properties" ma:root="true" ma:fieldsID="5f98ccf9129da79c9886b40175af08e1" ns2:_="" ns3:_="">
    <xsd:import namespace="9b1863c9-a03d-4b60-b3db-fbf3a7d3af43"/>
    <xsd:import namespace="22124acd-1755-4a65-896d-3c316b371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b27347-a736-4e68-af0c-e10c387e50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24acd-1755-4a65-896d-3c316b37119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04b2d30-fca5-45c0-a845-5891fbeec3ee}" ma:internalName="TaxCatchAll" ma:showField="CatchAllData" ma:web="22124acd-1755-4a65-896d-3c316b371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EF9AE2-A1BA-4981-8EF5-10B22C292D40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2144e9b2-1baa-4d83-8b2c-ca3d0cff004e"/>
    <ds:schemaRef ds:uri="51108d13-5acf-4ec8-b270-2cd8095b8c95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B6392E-ACEB-4574-89D6-36D40F9E2F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F1D346-C83C-4507-B8B3-9AD1B37B272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SOUHRN A KONSTANTY</vt:lpstr>
      <vt:lpstr>GEN</vt:lpstr>
      <vt:lpstr>VLT01</vt:lpstr>
      <vt:lpstr>VLT02</vt:lpstr>
      <vt:lpstr>VLT03</vt:lpstr>
      <vt:lpstr>VLT04</vt:lpstr>
      <vt:lpstr>VLT05</vt:lpstr>
      <vt:lpstr>VLT06</vt:lpstr>
      <vt:lpstr>VLT07</vt:lpstr>
      <vt:lpstr>VLT08</vt:lpstr>
      <vt:lpstr>VLT09</vt:lpstr>
      <vt:lpstr>VLT10</vt:lpstr>
      <vt:lpstr>VLT11</vt:lpstr>
      <vt:lpstr>VLTxx_new_240103 (2)</vt:lpstr>
      <vt:lpstr>VLTxx_new_240109</vt:lpstr>
      <vt:lpstr>VLTxx_new_240119</vt:lpstr>
      <vt:lpstr>VLT10_pilot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Bosáková, Stanislava</dc:creator>
  <cp:keywords/>
  <dc:description/>
  <cp:lastModifiedBy>Čejka, Filip</cp:lastModifiedBy>
  <cp:revision/>
  <dcterms:created xsi:type="dcterms:W3CDTF">2023-11-21T08:35:15Z</dcterms:created>
  <dcterms:modified xsi:type="dcterms:W3CDTF">2024-11-22T14:06:53Z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2023-11-21T08:42:55Z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6ebf2470-bffd-4a08-ac1a-6d34833a9e6f</vt:lpwstr>
  </property>
  <property fmtid="{D5CDD505-2E9C-101B-9397-08002B2CF9AE}" pid="8" name="MSIP_Label_43f08ec5-d6d9-4227-8387-ccbfcb3632c4_ContentBits">
    <vt:lpwstr>0</vt:lpwstr>
  </property>
  <property fmtid="{D5CDD505-2E9C-101B-9397-08002B2CF9AE}" pid="9" name="ContentTypeId">
    <vt:lpwstr>0x010100511CDE974F0C714B8E6DFF07C17D18DC</vt:lpwstr>
  </property>
  <property fmtid="{D5CDD505-2E9C-101B-9397-08002B2CF9AE}" pid="10" name="MediaServiceImageTags">
    <vt:lpwstr/>
  </property>
</Properties>
</file>