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mc:AlternateContent xmlns:mc="http://schemas.openxmlformats.org/markup-compatibility/2006">
    <mc:Choice Requires="x15">
      <x15ac:absPath xmlns:x15ac="http://schemas.microsoft.com/office/spreadsheetml/2010/11/ac" url="https://pvlcz.sharepoint.com/sites/sekce700/Shared Documents/AKCE/VÁGNER/5200791_VD Štěchovice – doplnění záchytného sytému skalního masivu nad příjezdovou komunikací/VŘ_STAVBA/ZD/DSJ/"/>
    </mc:Choice>
  </mc:AlternateContent>
  <xr:revisionPtr revIDLastSave="208" documentId="13_ncr:1_{0E667BBF-53D2-40A9-910F-90C66AB62BA8}" xr6:coauthVersionLast="47" xr6:coauthVersionMax="47" xr10:uidLastSave="{930EC1F4-2879-4007-9118-8DE3E4BF3E44}"/>
  <bookViews>
    <workbookView xWindow="-120" yWindow="-120" windowWidth="29040" windowHeight="15840" xr2:uid="{00000000-000D-0000-FFFF-FFFF00000000}"/>
  </bookViews>
  <sheets>
    <sheet name="Krycí list" sheetId="1" r:id="rId1"/>
    <sheet name="D.1.2.8 Soupis prací s VV" sheetId="2" r:id="rId2"/>
  </sheets>
  <definedNames>
    <definedName name="__xlnm.Print_Area_2">'D.1.2.8 Soupis prací s VV'!$B$1:$I$3</definedName>
    <definedName name="_xlnm.Print_Titles" localSheetId="1">'D.1.2.8 Soupis prací s VV'!$3:$3</definedName>
    <definedName name="_xlnm.Print_Area" localSheetId="1">'D.1.2.8 Soupis prací s VV'!$B$1:$I$307</definedName>
    <definedName name="_xlnm.Print_Area" localSheetId="0">'Krycí list'!$A$2:$D$29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6" i="2" l="1"/>
  <c r="I275" i="2" s="1"/>
  <c r="B18" i="1" s="1"/>
  <c r="I308" i="2"/>
  <c r="D17" i="1" s="1"/>
  <c r="I305" i="2"/>
  <c r="D16" i="1" s="1"/>
  <c r="I302" i="2"/>
  <c r="D14" i="1" s="1"/>
  <c r="I299" i="2"/>
  <c r="D13" i="1" s="1"/>
  <c r="I296" i="2"/>
  <c r="D12" i="1" s="1"/>
  <c r="I293" i="2"/>
  <c r="I289" i="2"/>
  <c r="I286" i="2"/>
  <c r="I283" i="2"/>
  <c r="I280" i="2"/>
  <c r="I272" i="2"/>
  <c r="I269" i="2"/>
  <c r="I266" i="2"/>
  <c r="I263" i="2"/>
  <c r="I260" i="2"/>
  <c r="I257" i="2"/>
  <c r="I254" i="2"/>
  <c r="I251" i="2"/>
  <c r="I248" i="2"/>
  <c r="I245" i="2"/>
  <c r="I242" i="2"/>
  <c r="I239" i="2"/>
  <c r="I236" i="2"/>
  <c r="I232" i="2"/>
  <c r="I229" i="2"/>
  <c r="I226" i="2"/>
  <c r="I223" i="2"/>
  <c r="I220" i="2"/>
  <c r="I217" i="2"/>
  <c r="I214" i="2"/>
  <c r="I211" i="2"/>
  <c r="I208" i="2"/>
  <c r="I205" i="2"/>
  <c r="I202" i="2"/>
  <c r="I199" i="2"/>
  <c r="I196" i="2"/>
  <c r="I193" i="2"/>
  <c r="I190" i="2"/>
  <c r="I187" i="2"/>
  <c r="I184" i="2"/>
  <c r="I181" i="2"/>
  <c r="I178" i="2"/>
  <c r="I175" i="2"/>
  <c r="I172" i="2"/>
  <c r="I168" i="2"/>
  <c r="I165" i="2"/>
  <c r="I162" i="2"/>
  <c r="I159" i="2"/>
  <c r="I156" i="2"/>
  <c r="I153" i="2"/>
  <c r="I150" i="2"/>
  <c r="I147" i="2"/>
  <c r="I144" i="2"/>
  <c r="I141" i="2"/>
  <c r="I138" i="2"/>
  <c r="I135" i="2"/>
  <c r="I132" i="2"/>
  <c r="I128" i="2"/>
  <c r="I125" i="2"/>
  <c r="I122" i="2"/>
  <c r="I119" i="2"/>
  <c r="I116" i="2"/>
  <c r="I113" i="2"/>
  <c r="I110" i="2"/>
  <c r="I107" i="2"/>
  <c r="I104" i="2"/>
  <c r="I101" i="2"/>
  <c r="I97" i="2"/>
  <c r="I94" i="2"/>
  <c r="I91" i="2"/>
  <c r="I88" i="2"/>
  <c r="I85" i="2"/>
  <c r="I81" i="2"/>
  <c r="I78" i="2"/>
  <c r="I75" i="2"/>
  <c r="I72" i="2"/>
  <c r="I69" i="2"/>
  <c r="I66" i="2"/>
  <c r="I63" i="2"/>
  <c r="I60" i="2"/>
  <c r="I57" i="2"/>
  <c r="I54" i="2"/>
  <c r="I50" i="2"/>
  <c r="I47" i="2"/>
  <c r="I44" i="2"/>
  <c r="I41" i="2"/>
  <c r="I38" i="2"/>
  <c r="I35" i="2"/>
  <c r="I32" i="2"/>
  <c r="I29" i="2"/>
  <c r="I26" i="2"/>
  <c r="I23" i="2"/>
  <c r="I20" i="2"/>
  <c r="I17" i="2"/>
  <c r="I14" i="2"/>
  <c r="I11" i="2"/>
  <c r="I8" i="2"/>
  <c r="I5" i="2"/>
  <c r="B308" i="2"/>
  <c r="G308" i="2"/>
  <c r="G302" i="2"/>
  <c r="G50" i="2"/>
  <c r="I279" i="2" l="1"/>
  <c r="I235" i="2"/>
  <c r="B17" i="1" s="1"/>
  <c r="I292" i="2"/>
  <c r="D11" i="1"/>
  <c r="I171" i="2"/>
  <c r="B16" i="1" s="1"/>
  <c r="I131" i="2"/>
  <c r="I100" i="2"/>
  <c r="B14" i="1" s="1"/>
  <c r="I84" i="2"/>
  <c r="B13" i="1" s="1"/>
  <c r="I53" i="2"/>
  <c r="B12" i="1" s="1"/>
  <c r="I4" i="2"/>
  <c r="B11" i="1" s="1"/>
  <c r="C12" i="1"/>
  <c r="C13" i="1"/>
  <c r="C14" i="1"/>
  <c r="C16" i="1"/>
  <c r="G296" i="2" l="1"/>
  <c r="G11" i="2" l="1"/>
  <c r="G75" i="2" l="1"/>
  <c r="G81" i="2"/>
  <c r="G150" i="2" l="1"/>
  <c r="G147" i="2"/>
  <c r="G144" i="2"/>
  <c r="G168" i="2" s="1"/>
  <c r="G66" i="2"/>
  <c r="G60" i="2"/>
  <c r="G135" i="2"/>
  <c r="G72" i="2"/>
  <c r="G69" i="2"/>
  <c r="G78" i="2"/>
  <c r="G44" i="2"/>
  <c r="G54" i="2"/>
  <c r="G57" i="2" s="1"/>
  <c r="G47" i="2" l="1"/>
  <c r="G14" i="2"/>
  <c r="G5" i="2"/>
  <c r="G8" i="2"/>
  <c r="B5" i="2"/>
  <c r="G178" i="2"/>
  <c r="G280" i="2" l="1"/>
  <c r="G35" i="2"/>
  <c r="G17" i="2"/>
  <c r="G26" i="2"/>
  <c r="G29" i="2" s="1"/>
  <c r="G23" i="2"/>
  <c r="G20" i="2"/>
  <c r="B8" i="2"/>
  <c r="G229" i="2"/>
  <c r="G226" i="2"/>
  <c r="G220" i="2"/>
  <c r="G223" i="2" s="1"/>
  <c r="G32" i="2" l="1"/>
  <c r="G41" i="2"/>
  <c r="B11" i="2"/>
  <c r="G38" i="2" l="1"/>
  <c r="B14" i="2"/>
  <c r="B17" i="2" l="1"/>
  <c r="B20" i="2" l="1"/>
  <c r="B23" i="2" s="1"/>
  <c r="B26" i="2" l="1"/>
  <c r="B29" i="2" s="1"/>
  <c r="B32" i="2" s="1"/>
  <c r="B35" i="2" l="1"/>
  <c r="B38" i="2" s="1"/>
  <c r="B41" i="2" s="1"/>
  <c r="B44" i="2" s="1"/>
  <c r="B47" i="2" l="1"/>
  <c r="B50" i="2" s="1"/>
  <c r="G214" i="2" l="1"/>
  <c r="G211" i="2" s="1"/>
  <c r="G232" i="2" l="1"/>
  <c r="G199" i="2"/>
  <c r="G196" i="2"/>
  <c r="G193" i="2"/>
  <c r="G184" i="2"/>
  <c r="G187" i="2" s="1"/>
  <c r="G181" i="2"/>
  <c r="G190" i="2" s="1"/>
  <c r="G175" i="2"/>
  <c r="G172" i="2" l="1"/>
  <c r="G205" i="2"/>
  <c r="G202" i="2"/>
  <c r="G217" i="2"/>
  <c r="G208" i="2" l="1"/>
  <c r="G165" i="2" l="1"/>
  <c r="G132" i="2"/>
  <c r="G141" i="2" l="1"/>
  <c r="G138" i="2"/>
  <c r="G159" i="2"/>
  <c r="G153" i="2"/>
  <c r="A19" i="1" l="1"/>
  <c r="A18" i="1"/>
  <c r="A17" i="1"/>
  <c r="G128" i="2"/>
  <c r="G119" i="2"/>
  <c r="G107" i="2"/>
  <c r="G110" i="2"/>
  <c r="G116" i="2"/>
  <c r="G101" i="2"/>
  <c r="G113" i="2" l="1"/>
  <c r="G286" i="2"/>
  <c r="G289" i="2" s="1"/>
  <c r="G104" i="2"/>
  <c r="G122" i="2"/>
  <c r="G125" i="2"/>
  <c r="G88" i="2" l="1"/>
  <c r="A14" i="1"/>
  <c r="A16" i="1" l="1"/>
  <c r="G276" i="2"/>
  <c r="G269" i="2" l="1"/>
  <c r="G263" i="2"/>
  <c r="G245" i="2"/>
  <c r="G248" i="2" l="1"/>
  <c r="G251" i="2"/>
  <c r="G257" i="2" l="1"/>
  <c r="G85" i="2" l="1"/>
  <c r="G91" i="2" l="1"/>
  <c r="G94" i="2"/>
  <c r="G97" i="2"/>
  <c r="G162" i="2" l="1"/>
  <c r="G156" i="2" l="1"/>
  <c r="G260" i="2" l="1"/>
  <c r="G305" i="2"/>
  <c r="G236" i="2" l="1"/>
  <c r="G239" i="2" l="1"/>
  <c r="G272" i="2" l="1"/>
  <c r="G266" i="2"/>
  <c r="G254" i="2" l="1"/>
  <c r="G283" i="2" l="1"/>
  <c r="G242" i="2"/>
  <c r="A15" i="1" l="1"/>
  <c r="A13" i="1"/>
  <c r="A12" i="1"/>
  <c r="G63" i="2" l="1"/>
  <c r="B54" i="2" l="1"/>
  <c r="B57" i="2" s="1"/>
  <c r="B60" i="2" s="1"/>
  <c r="B63" i="2" s="1"/>
  <c r="B66" i="2" s="1"/>
  <c r="B69" i="2" s="1"/>
  <c r="B72" i="2" s="1"/>
  <c r="B75" i="2" l="1"/>
  <c r="B78" i="2" s="1"/>
  <c r="B81" i="2" l="1"/>
  <c r="B85" i="2" s="1"/>
  <c r="B88" i="2" s="1"/>
  <c r="B91" i="2" l="1"/>
  <c r="B94" i="2" s="1"/>
  <c r="B97" i="2" s="1"/>
  <c r="B101" i="2" s="1"/>
  <c r="B104" i="2" s="1"/>
  <c r="B107" i="2" s="1"/>
  <c r="B110" i="2" s="1"/>
  <c r="B113" i="2" s="1"/>
  <c r="B116" i="2" s="1"/>
  <c r="B119" i="2" s="1"/>
  <c r="B122" i="2" s="1"/>
  <c r="B125" i="2" s="1"/>
  <c r="B128" i="2" s="1"/>
  <c r="B132" i="2" l="1"/>
  <c r="B135" i="2" s="1"/>
  <c r="B138" i="2" s="1"/>
  <c r="B141" i="2" l="1"/>
  <c r="B144" i="2" s="1"/>
  <c r="B147" i="2" l="1"/>
  <c r="B150" i="2" l="1"/>
  <c r="B153" i="2" s="1"/>
  <c r="B156" i="2" l="1"/>
  <c r="B159" i="2" s="1"/>
  <c r="B162" i="2" s="1"/>
  <c r="B165" i="2" l="1"/>
  <c r="B168" i="2" s="1"/>
  <c r="B172" i="2" s="1"/>
  <c r="B175" i="2" s="1"/>
  <c r="B178" i="2" s="1"/>
  <c r="B181" i="2" s="1"/>
  <c r="B184" i="2" s="1"/>
  <c r="B187" i="2" s="1"/>
  <c r="B190" i="2" s="1"/>
  <c r="B193" i="2" s="1"/>
  <c r="B196" i="2" s="1"/>
  <c r="B199" i="2" s="1"/>
  <c r="B202" i="2" s="1"/>
  <c r="B205" i="2" s="1"/>
  <c r="B208" i="2" s="1"/>
  <c r="C11" i="1"/>
  <c r="B211" i="2" l="1"/>
  <c r="B214" i="2" s="1"/>
  <c r="B217" i="2" s="1"/>
  <c r="B220" i="2" s="1"/>
  <c r="B223" i="2" s="1"/>
  <c r="B226" i="2" s="1"/>
  <c r="G293" i="2"/>
  <c r="B229" i="2" l="1"/>
  <c r="G299" i="2"/>
  <c r="B232" i="2" l="1"/>
  <c r="D20" i="1" l="1"/>
  <c r="A11" i="1" l="1"/>
  <c r="B236" i="2" l="1"/>
  <c r="B239" i="2" s="1"/>
  <c r="B242" i="2" s="1"/>
  <c r="B245" i="2" s="1"/>
  <c r="B248" i="2" s="1"/>
  <c r="B251" i="2" s="1"/>
  <c r="B254" i="2" s="1"/>
  <c r="B257" i="2" s="1"/>
  <c r="B260" i="2" s="1"/>
  <c r="B263" i="2" s="1"/>
  <c r="B266" i="2" s="1"/>
  <c r="B269" i="2" s="1"/>
  <c r="B272" i="2" s="1"/>
  <c r="B276" i="2" s="1"/>
  <c r="D28" i="1"/>
  <c r="B280" i="2" l="1"/>
  <c r="B283" i="2" s="1"/>
  <c r="B286" i="2" l="1"/>
  <c r="B289" i="2" s="1"/>
  <c r="B293" i="2" l="1"/>
  <c r="B296" i="2" s="1"/>
  <c r="B299" i="2" s="1"/>
  <c r="B302" i="2" s="1"/>
  <c r="B19" i="1"/>
  <c r="B305" i="2" l="1"/>
  <c r="B15" i="1"/>
  <c r="B20" i="1" l="1"/>
  <c r="B22" i="1" s="1"/>
  <c r="B23" i="1" s="1"/>
  <c r="B25" i="1" s="1"/>
</calcChain>
</file>

<file path=xl/sharedStrings.xml><?xml version="1.0" encoding="utf-8"?>
<sst xmlns="http://schemas.openxmlformats.org/spreadsheetml/2006/main" count="574" uniqueCount="346">
  <si>
    <t>Datum:</t>
  </si>
  <si>
    <t>ROZPOČTOVÉ NÁKLADY</t>
  </si>
  <si>
    <t>Jméno:</t>
  </si>
  <si>
    <t>Podpis, razítko:</t>
  </si>
  <si>
    <t>Základ pro DPH</t>
  </si>
  <si>
    <t>Zadavatel:</t>
  </si>
  <si>
    <t>MJ</t>
  </si>
  <si>
    <t>Cena celkem</t>
  </si>
  <si>
    <t>m</t>
  </si>
  <si>
    <t>hod</t>
  </si>
  <si>
    <t>Cena MJ</t>
  </si>
  <si>
    <t>Zpracovatel:</t>
  </si>
  <si>
    <t>Hlavní části stavby:</t>
  </si>
  <si>
    <t>CENA ZA STAVBU CELKEM</t>
  </si>
  <si>
    <t>Celkem hlavní části stavby:</t>
  </si>
  <si>
    <t>Ostatní náklady stavby</t>
  </si>
  <si>
    <t>Ing. Ondřej Holý</t>
  </si>
  <si>
    <t>DPH 21%</t>
  </si>
  <si>
    <t>Ostatní náklady stavby:</t>
  </si>
  <si>
    <t>Název stavby:</t>
  </si>
  <si>
    <t>Č.</t>
  </si>
  <si>
    <t>Celkem ostatní části stavby:</t>
  </si>
  <si>
    <t>Vypracoval:</t>
  </si>
  <si>
    <r>
      <t>m</t>
    </r>
    <r>
      <rPr>
        <vertAlign val="superscript"/>
        <sz val="9"/>
        <rFont val="Calibri"/>
        <family val="2"/>
        <charset val="238"/>
        <scheme val="minor"/>
      </rPr>
      <t>2</t>
    </r>
  </si>
  <si>
    <t>Geodetické práce před výstavbou</t>
  </si>
  <si>
    <t>soubor</t>
  </si>
  <si>
    <t>Geodetické práce po výstavbě</t>
  </si>
  <si>
    <t>Vybavení staveniště, přenosné zdroje, zabezpečení staveniště, sociální zařízení, včetně jeho odstranění</t>
  </si>
  <si>
    <t>Projektová dokumentace skutečného provedení stavby - DSPS</t>
  </si>
  <si>
    <t>Přípravné a přidružené práce a dočasné zajištění staveniště</t>
  </si>
  <si>
    <t>Geotechnika Holý</t>
  </si>
  <si>
    <t>agreg.</t>
  </si>
  <si>
    <t>Lokální kotvení skalních bloků</t>
  </si>
  <si>
    <t>Trny z oceli prováděné horolezeckou technikou, zainjektované cem. maltou - statická zatěžovací zkouška</t>
  </si>
  <si>
    <t>Zhotovení nátěru ocelových konstrukcí třídy I, jednosložkového, krycího (vrchního), tloušťky do 40 μm</t>
  </si>
  <si>
    <t xml:space="preserve">Montáž ocelové sítě na skalní stěnu prováděná horolezeckou technikou   </t>
  </si>
  <si>
    <t>Montáž ocelového lana pro uchycení sítě, prováděná horolezeckou technikou, pr. do 10 mm</t>
  </si>
  <si>
    <t>Lano ocelové, šestipramenné 6 x 19 drátů, pozinkované, 1 770 Mpa, D 10 mm</t>
  </si>
  <si>
    <r>
      <t>m</t>
    </r>
    <r>
      <rPr>
        <vertAlign val="superscript"/>
        <sz val="9"/>
        <rFont val="Calibri"/>
        <family val="2"/>
        <charset val="238"/>
        <scheme val="minor"/>
      </rPr>
      <t>3</t>
    </r>
  </si>
  <si>
    <t>012103000</t>
  </si>
  <si>
    <t>012303000</t>
  </si>
  <si>
    <t>013254000</t>
  </si>
  <si>
    <t>030001000</t>
  </si>
  <si>
    <t xml:space="preserve">Montáž pletiva na sloupky záchytného plotu prováděná horolezeckou technikou   </t>
  </si>
  <si>
    <t>Geotextilie netkaná pro ochranu, separaci nebo filtraci měrná hmotnost do 200 g/m²</t>
  </si>
  <si>
    <t>Přesuny hmot</t>
  </si>
  <si>
    <t>t</t>
  </si>
  <si>
    <t>Lano ocelové, šestipramenné 6 x 19 drátů, pozinkované, 1 770 Mpa, D 8 mm</t>
  </si>
  <si>
    <t>Základové konstrukce z betonu prostého, patky a bloky, ve výkopu, z betonu třídy C 25/30, včetně dodání a uložení betonu do připravené konstrukce</t>
  </si>
  <si>
    <t>Zhotovení nátěru ocelových konstrukcí třídy I jednosložkového základního, tloušťky do 40 μm</t>
  </si>
  <si>
    <t>Ochrana kmene bedněním před poškozením stavebním provozem, zřízení včetně odstranění, výšky bednění přes 2 do 3 m, průměru kmene přes 300 do 500 mm</t>
  </si>
  <si>
    <t>Pokácení stromu směrové v celku s odřezáním kmene a s odvětvením průměru kmene přes 200 do 300 mm</t>
  </si>
  <si>
    <t>Sloupky plotu osazené do vrtů, včetně vystředění a zalití cem. injekční směsí pro plot těžký, včetně dodání ocel. trubkek dl. do 3 m, pr. do 89/10 mm</t>
  </si>
  <si>
    <t>Ukotvení sloupků lany, včetně dodání spojovacího materiálu a šestipramenného ocel. lana 6 x 19 drátů, pozinkovaného, 1 770 Mpa, pr. do 10 mm</t>
  </si>
  <si>
    <t>Trny z injekčních zavrtávacích tyčí prováděné horolezeckou technikou zainjektované cem. maltou pr. 32 mm včetně vrtů přenosnými vrtacími kladivy na ztracenou korunku průměru 51 mm, délky do 2 m</t>
  </si>
  <si>
    <t xml:space="preserve">Montáž ztužujících lan k pletivu záchytného plotu prováděná horolezeckou technikou   </t>
  </si>
  <si>
    <t>Pol. 155214211 * 1,2 ztratné na prořezy, překryvy a zpětné ohnutí; zaokr. na celý m</t>
  </si>
  <si>
    <t>Ocelové pZn lano min. pr. 10 mm, šestipramenné, 114 drátů (6 x 19 WSC), třídy pevnosti 1 770 Mpa, jmenovité únosnosti min. 64 kN.</t>
  </si>
  <si>
    <t>Pol. 155211112</t>
  </si>
  <si>
    <t>Realizace kotevní zálivky aktivovanými směsmi s ruční přípravou a aktivací na místě. Pro tento účel bude použita cementová směs, či směs na bázi cementu CEMII/B-M (V-LL) 32,5 R.</t>
  </si>
  <si>
    <t>Statická zatěžovací zkouška provedena na geotechnikem vytipovaných místech ve skalní stěně, vytržením.</t>
  </si>
  <si>
    <t>Montáž pásů ocelové sítě, včetně rozvinutí a vytažení na skalní stěnu, jejich spojení předepsaným spojovacím materiálem, včetně jeho dodání a přitažení podložek a matic na ocelové trny.</t>
  </si>
  <si>
    <t>Pol. 155213611</t>
  </si>
  <si>
    <r>
      <t>Pol. 155214521 * 1,2 ztratné na překryvy, prořezy a zpětné ohnutí; zaokr. na celý m</t>
    </r>
    <r>
      <rPr>
        <i/>
        <vertAlign val="superscript"/>
        <sz val="9"/>
        <rFont val="Calibri"/>
        <family val="2"/>
        <charset val="238"/>
        <scheme val="minor"/>
      </rPr>
      <t>2</t>
    </r>
  </si>
  <si>
    <t>Pol. 155214525 * 1,2 ztratné na prořezy, překryvy a zpětné ohnutí; zaokr. na celý m</t>
  </si>
  <si>
    <t>Vnitrostaveništní manipulace a přesuny použitých stavebních materiálů.</t>
  </si>
  <si>
    <t>Geodetické zaměření a vytýčení inženýrsých sítí, projektovaných ploch a linií stavby.</t>
  </si>
  <si>
    <t>Geodetické zaměření skutečného provedení stavby po jejím dokončení.</t>
  </si>
  <si>
    <t>Jednotná dodávka souboru prací</t>
  </si>
  <si>
    <t>Jednotná dodávka souboru prací, dáno vyhláškou</t>
  </si>
  <si>
    <t>Přesná specifikace materiálů a postupu prací viz vyhláška č. 405/2017 Sb.</t>
  </si>
  <si>
    <t>Předpokládaná plocha, potřebná k umístění zařízení staveniště.</t>
  </si>
  <si>
    <t>Cenová soustava</t>
  </si>
  <si>
    <t>Množství</t>
  </si>
  <si>
    <t>-</t>
  </si>
  <si>
    <t>R-položka</t>
  </si>
  <si>
    <t>R-155213611</t>
  </si>
  <si>
    <t>F POLOŽKOVÝ ROZPOČET</t>
  </si>
  <si>
    <t>Kód
položky</t>
  </si>
  <si>
    <t>Název, výpočet a technická specifikace položky</t>
  </si>
  <si>
    <t>Očištění skalních ploch horolezeckou technikou, odstranění vegetace, včetně stažení k zemi, odklizení na hromady na vzdálenost do 50 m nebo na naložení na dopravní prostředek, keřů a stromů do průměru 10 cm</t>
  </si>
  <si>
    <t>Vrty do skalních stěn prováděné horolezeckou technikou, hloubky do 5 m, průběžným sacím vrtáním, průměru přes 93 do 156 mm, úklonu do 45°, v hornině třídy V a VI</t>
  </si>
  <si>
    <t>Pol. 131213702</t>
  </si>
  <si>
    <t>Pol. 919726121</t>
  </si>
  <si>
    <t>Pol. 155214411 * dl. vrtu 1,2 m; zaokr. nahoru na 0,1 m</t>
  </si>
  <si>
    <r>
      <t>((Pol. 155214411 + 155213611) * rozměr bet. patky 0,5 * 0,5 * 0,7 m) * koef. nepravidelnosti výkopu 1,2; uvažováno s kombinací vrtu a patky v poměru cca 1/2 dl. patka + 1/2 dl. vrt; zaokr. nahoru na 0,1 m</t>
    </r>
    <r>
      <rPr>
        <i/>
        <vertAlign val="superscript"/>
        <sz val="9"/>
        <rFont val="Calibri"/>
        <family val="2"/>
        <charset val="238"/>
        <scheme val="minor"/>
      </rPr>
      <t>3</t>
    </r>
  </si>
  <si>
    <r>
      <t>Všechny sloupy a kotevní prvky budou opatřeny PKO ještě před instalací do vrtu. Základní nátěr musí být proveden dílensky, štětcem a na celý ocelový profil. Způsob a provedení PKO kotevních prvků bude dle ČSN EN 1537. Minimální projektem požadovaná PKO všech prvků je 245 g/m</t>
    </r>
    <r>
      <rPr>
        <i/>
        <vertAlign val="superscript"/>
        <sz val="9"/>
        <rFont val="Calibri"/>
        <family val="2"/>
        <charset val="238"/>
        <scheme val="minor"/>
      </rPr>
      <t>2</t>
    </r>
    <r>
      <rPr>
        <i/>
        <sz val="9"/>
        <rFont val="Calibri"/>
        <family val="2"/>
        <charset val="238"/>
        <scheme val="minor"/>
      </rPr>
      <t>.</t>
    </r>
  </si>
  <si>
    <r>
      <t>Všechny kotevní prvky budou opatřeny PKO ještě před instalací do vrtu. Základní nátěr musí být proveden dílensky, štětcem a na celý ocelový profil. Způsob a provedení PKO kotevních prvků bude dle ČSN EN 1537. Minimální projektem požadovaná PKO všech prvků je 245 g/m</t>
    </r>
    <r>
      <rPr>
        <i/>
        <vertAlign val="superscript"/>
        <sz val="9"/>
        <rFont val="Calibri"/>
        <family val="2"/>
        <charset val="238"/>
        <scheme val="minor"/>
      </rPr>
      <t>2</t>
    </r>
    <r>
      <rPr>
        <i/>
        <sz val="9"/>
        <rFont val="Calibri"/>
        <family val="2"/>
        <charset val="238"/>
        <scheme val="minor"/>
      </rPr>
      <t>.</t>
    </r>
  </si>
  <si>
    <t>Ocelové pZn lano min. pr. 8 mm, šestipramenné, 114 drátů (6 x 19 WSC), třídy pevnosti 1 770 Mpa, jmenovité únosnosti min. 41 kN. Lano bude opatřeno nástřikem černé barvy.</t>
  </si>
  <si>
    <t>Ocelové pZn lano min. pr. 10 mm, šestipramenné, 114 drátů (6 x 19 WSC), třídy pevnosti 1 770 Mpa, jmenovité únosnosti min. 64 kN. Lano bude opatřeno nástřikem černé barvy.</t>
  </si>
  <si>
    <t>R-619996137</t>
  </si>
  <si>
    <t>Šroubovací ocelové pZn oko se závitem pro příslušný pr. injekční zavrtávací tyče, včetně montáže</t>
  </si>
  <si>
    <t>Ke každé zavrtávací tyči bude dodáno šroubovací ocelové pZn oko se závitem pro průměr tyče 32 mm.</t>
  </si>
  <si>
    <t>Dvouzákrutová, ocelová ZnAl síť s oky 60 x 80 mm. Tahová pevnost sítě min. 37 kN/m, tahová pevnost pásu sítě min. 74 kN. Drát pletiva min. pr. 2,2 mm, tahová pevnost 350 - 550 Mpa.</t>
  </si>
  <si>
    <t>Základové patky z betonu třídy C25/30 XC2 budou rozměru cca 0,5 x 0,5 x 0,7 m. Skutečný tvar bude dle provedení výkopu, dle místních základových poměrů.</t>
  </si>
  <si>
    <r>
      <t>((Pl. 1 mb sloupu 0,292044 m² * dl. nátěru sloupu 3 m * pol. 155214411) + (pl. 1 mb tyče 0,102139 m² * koef. zohledňující závit 1,3 * dl. nátěru kotev. prvku 1,5 m * pol. 155213611)) * 1,2 ztratné; zaokr. na celý m</t>
    </r>
    <r>
      <rPr>
        <i/>
        <vertAlign val="superscript"/>
        <sz val="9"/>
        <rFont val="Calibri"/>
        <family val="2"/>
        <charset val="238"/>
        <scheme val="minor"/>
      </rPr>
      <t>2</t>
    </r>
  </si>
  <si>
    <r>
      <t>((Pl. 1 mb sloupu 0,292044 m² * dl. nátěru sloupu 2,3 m * pol. 155214411) + (pl. 1 mb tyče 0,102139 m² * koef. zohledňující závit 1,3 * dl. nátěru kotev. prvku 0,4 m * pol. 155213611)) * počet vrstev 2 ks * 1,2 ztratné; zaokr. na celý m</t>
    </r>
    <r>
      <rPr>
        <i/>
        <vertAlign val="superscript"/>
        <sz val="9"/>
        <rFont val="Calibri"/>
        <family val="2"/>
        <charset val="238"/>
        <scheme val="minor"/>
      </rPr>
      <t>2</t>
    </r>
  </si>
  <si>
    <t>Geomatrace trojrozměrné, protierozní</t>
  </si>
  <si>
    <t>Montáž ocelového pZn lana min. pr. 10 mm pro vlastní uchycení sítě po obvodu síťované plochy a montáž ocelového pZn lana min. pr. 8 mm pro vzájemné spojení jednotlivých pásů sítě, včetně manipulace s lanem, montáže a dodání spojovacího materiálu.</t>
  </si>
  <si>
    <t>(Lano pro vzájemné spojení jednotlivých pásů sítě pol. 155214111 * koef. 0,35) * 1,2 ztratné na prořezy, překryvy a zpět. ohnutí; zaokr. na celý m</t>
  </si>
  <si>
    <t>Montáž geomříže na skalní stěnu prováděná horolezeckou technikou</t>
  </si>
  <si>
    <r>
      <t>Pol. 155214112 * 1,2 ztratné na překryvy, prořezy a zpětné ohnutí; zaokr. na celý m</t>
    </r>
    <r>
      <rPr>
        <i/>
        <vertAlign val="superscript"/>
        <sz val="9"/>
        <rFont val="Calibri"/>
        <family val="2"/>
        <charset val="238"/>
        <scheme val="minor"/>
      </rPr>
      <t>2</t>
    </r>
  </si>
  <si>
    <t>Odstranění vegetace, očištění a odtěžení skalního svahu a obnova akumulačního prostoru</t>
  </si>
  <si>
    <t>Mezi sloupy plotu bude nejdřív nataženo horní a dolní ocelové pZn lano min. pr. 10 mm. Tyto lana budou pak u krajních sloupů kotvena ke skalnímu svahu tím samým způsobem jako sloupy. Na takto připravená lana bude následně, směrem do svahu, vyvěšeno vlastní pletivo, které nesmí být plně napnuto. Pletivo bude pak ztuženo dalšími třemi ocelovými pZn lany min. pr. 10 mm.</t>
  </si>
  <si>
    <t>Nadzemní výška pletiva bude min. 1,8 m. Pletivo bude vyvěšeno na horní a dolní ocelové pZn lano, směrem do svahu. Nesmí být plně napnuto. Pás pletiva šířky cca 2 m bude instalován podélně a v místě napojení na další pás bude proveden překryv šířky min. 200 mm. Jednotlivé pásy budou spájeny c-kroužky po max. 100 mm. Pletivo bude pak ztuženo dalšími třemi ocelovými pZn lany min. pr. 10 mm. Ve spodní linii bude provedeno zpětné zahnutí cca 200 mm pletiva směrem do svahu, položeno na zem a přitíženo kameny.</t>
  </si>
  <si>
    <t>Ochrana stavebních konstrukcí a samostatných prvků včetně pozdějšího odstranění</t>
  </si>
  <si>
    <t>Stavebník:</t>
  </si>
  <si>
    <t>V geodeticky vytyčených a geotechnikem stavby odsouhlasených liniích budou nejprve realizovány vrty pro sloupy ochranných plotů. Vrtání bude průběžným sacím vrtáním min. pr. 150 mm, hloubky min. 1,2 m a v osové vzdálenosti po cca 3 m.</t>
  </si>
  <si>
    <t>Sloupy plotů budou z modifikovaných trubek z oceli S235JR, pr. 89/10 mm, dl. 3 m s nadzemní výškou min. 1,9 m, osově po cca 3 m. Sloupy budou mít zavařenou hlavu a po výšce sloupu bude navařeno 5 ok pro vedení průběžných ocelových lan. Aby se zabránilo kondenzaci vlhkosti vzduchu a následné korozi zevnitř sloupů, bude každý opatřen dvěma otvory pr. 10 mm, dole a nahoře.</t>
  </si>
  <si>
    <t>Sloupy plotů budou kotveny v ose (krajní sloupy) a také do svahu, systémem 1 kotevní prvek na 2 sloupy. V místech změny vedení plotu, či v místech s výrazněji porušenou tektonikou svahu budou kotveny jednotlivě.</t>
  </si>
  <si>
    <t>Vrty do skalních stěn prováděné horolezeckou technikou, hloubky do 5 m, přenosnými vrtacími kladivy, průměru do 56 mm, v hornině třídy V a VI</t>
  </si>
  <si>
    <t>Trny z oceli prováděné horolezeckou technikou bez oka z celozávitové oceli pro uchycení sítí zainjektované cementovou maltou délky do 3 m, průměru přes 26 do 32 mm</t>
  </si>
  <si>
    <t>Injektování aktivovanými směsmi nízkotlaké vzestupné tlakem do 0,6 Mpa</t>
  </si>
  <si>
    <t>Pol. 155212116 * 0,2 h/bm vrtu; zaokr. na 0,1 h</t>
  </si>
  <si>
    <r>
      <t>((Pl. 1 mb tyče 0,089196 m² * koef. zohledňující závit 1,3 * dl. nátěru kotev. prvku 0,4 m * pol. 155213113) + (pl. podložky 0,088 m</t>
    </r>
    <r>
      <rPr>
        <i/>
        <vertAlign val="superscript"/>
        <sz val="9"/>
        <rFont val="Calibri"/>
        <family val="2"/>
        <charset val="238"/>
        <scheme val="minor"/>
      </rPr>
      <t>2</t>
    </r>
    <r>
      <rPr>
        <i/>
        <sz val="9"/>
        <rFont val="Calibri"/>
        <family val="2"/>
        <charset val="238"/>
        <scheme val="minor"/>
      </rPr>
      <t xml:space="preserve"> * pol. 155213113)) * počet vrstev 2 ks * 1,2 ztratné; zaokr. na celý m</t>
    </r>
    <r>
      <rPr>
        <i/>
        <vertAlign val="superscript"/>
        <sz val="9"/>
        <rFont val="Calibri"/>
        <family val="2"/>
        <charset val="238"/>
        <scheme val="minor"/>
      </rPr>
      <t>2</t>
    </r>
  </si>
  <si>
    <t>Pol. 155213113 * dl. vrtu 3 m</t>
  </si>
  <si>
    <t>Dvouzákrutová, ocelová ZnAl síť s oky 80 x 100 mm s výrobně podélně vpletenými lany pr. 8 mm, po 0,5 m. Tahová pevnost sítě min. 50 kN/m, tahová pevnost pásu sítě min. 366 kN. Drát pletiva min. pr. 2,7 mm, tahová pevnost 350 - 550 Mpa.</t>
  </si>
  <si>
    <t>Montáž pásů protierozní extrudované PP georohože, včetně rozvinutí a vytažení na skalní stěnu. Protierozní georohož bude podložena pod ocelovou síť v místech výskytu nesoudržného pokryvu a zvětralejších partií, náchylných k propadu skrz oka sítě, či erozi.</t>
  </si>
  <si>
    <t>Hlavní dvouzákrutová, ocelová síť bude částečné doplněna (podložena) protierozní extrudovanou PP georohoží černé barvy, tloušťky do 13 mm s hustotou min. 900 kg/m³ a bodem tání 150 °C.</t>
  </si>
  <si>
    <t>VD Štěchovice - doplnění záchytného systému skalního masivu nad příjezdovou komunikací - DSJ</t>
  </si>
  <si>
    <t>Povodí Vltavy, státní podnik, Holečkova 3178/8, 150 00 Praha 5 - Smíchov</t>
  </si>
  <si>
    <t>ks</t>
  </si>
  <si>
    <t>Součtová dl. plotů 66 m / osová vzd. sloupů 3 m + 5 ks krajní sloup; zaokr. na celý ks</t>
  </si>
  <si>
    <t>Pol. 155214411 + (2 ks krajní sloup * 5 ks plotů); zaokr. na celý ks</t>
  </si>
  <si>
    <t>Pol. 155214411 / 2 ks sloupu na jeden kotevní prvek + (2 ks krajní sloup * 5 ks plotů); zaokr. na celý ks</t>
  </si>
  <si>
    <r>
      <t>Součtová dl. plotů 66 m * šířka pásu pletiva 2 m; zaokr. na celý m</t>
    </r>
    <r>
      <rPr>
        <i/>
        <vertAlign val="superscript"/>
        <sz val="9"/>
        <rFont val="Calibri"/>
        <family val="2"/>
        <charset val="238"/>
        <scheme val="minor"/>
      </rPr>
      <t>2</t>
    </r>
  </si>
  <si>
    <t>(Součtová dl. plotů 66 m * 5 ks lan) + (3 ks lan * dl. 2,5 m * 2 ks krajní sloup * 5 ks plotů); zaokr. na celý m</t>
  </si>
  <si>
    <t>ÚRS 2023/II</t>
  </si>
  <si>
    <t>Geotechnický monitoring</t>
  </si>
  <si>
    <t>Dynamická bariéra výšky do 4,0 / 4,5 m</t>
  </si>
  <si>
    <t>Instalace geotechnického, postsanačního monitoringu, včetně nultého měření</t>
  </si>
  <si>
    <t>Bude určeno na místě geotechnikem stavby.</t>
  </si>
  <si>
    <t>Kotvená kamenná podezdívka</t>
  </si>
  <si>
    <t>Odborný odhad na základě návštěvy lokality: 12 ks</t>
  </si>
  <si>
    <t>Vrty pro kotevní prvky budou min. pr. 43 mm s úklonem vrtu 10° a budou se provádět pneumatickými kladivy. Jako výplach bude použit stlačený vzduch. Skutečné rozmístění kotevních prvků sítě určí geotechnický dozor zhotovitele přímo na stavbě dle daných geologických podmínek.</t>
  </si>
  <si>
    <t>Všechny kotevní prvky budou opatřeny PKO ještě před instalací do vrtu, přičemž přetažení systému PKO do vrtu bude min. 200 mm. Způsob a provedení PKO kotevních prvků bude dle ČSN EN 1537. Krycí (vrchní) vrstvy PKO budou provedeny v černě barvě.</t>
  </si>
  <si>
    <t>Příplatek k cenám zdění zdiva z kamene na maltu za jednostranné lícování zdiva</t>
  </si>
  <si>
    <t>Vrty přenosnými vrtacími kladivy v hloubce 0 až 10 m průměru přes 13 do 56 mm, do úklonu 90° (úpadně až horizontálně), v hornině tř. IV</t>
  </si>
  <si>
    <t>Trn z betonářské oceli včetně zainjektování při průměru oceli od 20 do 26 mm, délky přes 0,4 do 3,0 m</t>
  </si>
  <si>
    <t>Spárování zdiva opěrných zdí a valů cementovou maltou hloubky spárování do 30 mm, zdiva z lomového kamene</t>
  </si>
  <si>
    <t>Spárování čelních ploch podezdívek. Vytvořené drenážní prostupy zvětšením rozestupu mezi jednotlivými bloky kamene budou bez příslušného vyspárování.</t>
  </si>
  <si>
    <r>
      <t>Pl. základu v řezu 0,4 m</t>
    </r>
    <r>
      <rPr>
        <i/>
        <vertAlign val="superscript"/>
        <sz val="8"/>
        <rFont val="Arial"/>
        <family val="2"/>
        <charset val="238"/>
      </rPr>
      <t>2</t>
    </r>
    <r>
      <rPr>
        <i/>
        <sz val="8"/>
        <rFont val="Arial"/>
        <family val="2"/>
        <charset val="238"/>
      </rPr>
      <t xml:space="preserve"> * součtová dl. podezdívek 15 m * koef. nepravidelnosti výkopu 1,2; zaokr. nahoru na 0,1 m</t>
    </r>
    <r>
      <rPr>
        <i/>
        <vertAlign val="superscript"/>
        <sz val="8"/>
        <rFont val="Arial"/>
        <family val="2"/>
        <charset val="238"/>
      </rPr>
      <t>3</t>
    </r>
  </si>
  <si>
    <t>V případě, kdy by založení bylo nevyhovující, lze po konzultaci s geotechnikem provést založení na základě z betonu C 25/30 XC2, rozměru cca 0,5 x 0,8 m příslušné délky. Skutečný tvar bude dle provedení výkopu, dle místních základových poměrů.</t>
  </si>
  <si>
    <t xml:space="preserve">Příplatek k cenám za jednostranné lícování zdiva pohledové části kamenné podezdívky. </t>
  </si>
  <si>
    <t>Pol. 153812121 * dl. vrtu 0,3 m; zaokr. nahoru na celý m</t>
  </si>
  <si>
    <r>
      <t>Zdění zdiva nadzákladového opěrných zdí a valů z lomového kamene štípaného nebo ručně vybíraného na maltu z nepravidelných kamenů objemu 1 kusu kamene do 0,02 m</t>
    </r>
    <r>
      <rPr>
        <vertAlign val="superscript"/>
        <sz val="9"/>
        <rFont val="Calibri"/>
        <family val="2"/>
        <charset val="238"/>
        <scheme val="minor"/>
      </rPr>
      <t>3</t>
    </r>
    <r>
      <rPr>
        <sz val="9"/>
        <rFont val="Calibri"/>
        <family val="2"/>
        <charset val="238"/>
        <scheme val="minor"/>
      </rPr>
      <t>, šířka spáry přes 10 do 20 mm</t>
    </r>
  </si>
  <si>
    <t>Vrty pro protismykové trny v ploše betonového základu nebo nevodorovného skalního podloží budou min. pr. 40 mm a budou se provádět pneumatickými kladivy. Jako výplach bude použit stlačený vzduch. Skutečné rozmístění kotevních prvků sítě určí geotechnický dozor zhotovitele přímo na stavbě dle daných geologických podmínek.</t>
  </si>
  <si>
    <r>
      <t>Součtová pl. pro založení podezdívek 12 m</t>
    </r>
    <r>
      <rPr>
        <i/>
        <vertAlign val="superscript"/>
        <sz val="8"/>
        <rFont val="Arial"/>
        <family val="2"/>
        <charset val="238"/>
      </rPr>
      <t>2</t>
    </r>
    <r>
      <rPr>
        <i/>
        <sz val="8"/>
        <rFont val="Arial"/>
        <family val="2"/>
        <charset val="238"/>
      </rPr>
      <t xml:space="preserve"> * 6 ks trnů na 1 m</t>
    </r>
    <r>
      <rPr>
        <i/>
        <vertAlign val="superscript"/>
        <sz val="8"/>
        <rFont val="Arial"/>
        <family val="2"/>
        <charset val="238"/>
      </rPr>
      <t>2</t>
    </r>
    <r>
      <rPr>
        <i/>
        <sz val="8"/>
        <rFont val="Arial"/>
        <family val="2"/>
        <charset val="238"/>
      </rPr>
      <t xml:space="preserve"> pl. základu; zaokr. na celý ks</t>
    </r>
  </si>
  <si>
    <t>Celozávitové kotevní tyče z oceli B550B (550 MPa), min. pr. 28 mm, dl. min. 3,0 m pro kotvení uvolněných bloků. Každá kotevní tyč bude dodána včetně příslušenství (spojníky, podložka 200 x 200 x 10 mm, matka).</t>
  </si>
  <si>
    <r>
      <t>((Pl. 1 mb tyče 0,089196 m² * koef. zohledňující závit 1,3 * dl. nátěru kotev. prvku 3,0 m * pol. 155213113) + (pl. podložky 0,088 m</t>
    </r>
    <r>
      <rPr>
        <i/>
        <vertAlign val="superscript"/>
        <sz val="9"/>
        <rFont val="Calibri"/>
        <family val="2"/>
        <charset val="238"/>
        <scheme val="minor"/>
      </rPr>
      <t>2</t>
    </r>
    <r>
      <rPr>
        <i/>
        <sz val="9"/>
        <rFont val="Calibri"/>
        <family val="2"/>
        <charset val="238"/>
        <scheme val="minor"/>
      </rPr>
      <t xml:space="preserve"> * pol. 155213113)) * 1,2 ztratné; zaokr. na celý m</t>
    </r>
    <r>
      <rPr>
        <i/>
        <vertAlign val="superscript"/>
        <sz val="9"/>
        <rFont val="Calibri"/>
        <family val="2"/>
        <charset val="238"/>
        <scheme val="minor"/>
      </rPr>
      <t>2</t>
    </r>
  </si>
  <si>
    <t>Celozávitové kotevní tyče z oceli B550B (550 MPa), min. pr. 25 mm, dl. min. 0,6 m pro protismykové trny v ploše betonového základu nebo nevodorovného skalního podloží.</t>
  </si>
  <si>
    <t>Zavrtávací injekční tyče z oceli 28Mn6 (580 MPa), min. pr. 32 mm, dl. min. 2,0 m pro systémové a nesystémové kotvení podezdívek. Základní rastr kotvení bude 1,5 x 1,5 m (podélně x svisle). Každá kotevní tyč bude dodána včetně příslušenství (spojníky, podložka 150 x 150 x 8 mm, matka).</t>
  </si>
  <si>
    <r>
      <t>((Pl. 1 mb tyče 0,079522 m² * koef. zohledňující závit 1,3 * dl. nátěru kotev. prvku 0,6 m * pol. 153812121) + (pl. 1 mb tyče 0,102139 m² * koef. zohledňující závit 1,3 * dl. nátěru kotev. prvku 2,0 m * pol. 155213611) + (pl. podložky 0,0498 m</t>
    </r>
    <r>
      <rPr>
        <i/>
        <vertAlign val="superscript"/>
        <sz val="9"/>
        <rFont val="Calibri"/>
        <family val="2"/>
        <charset val="238"/>
        <scheme val="minor"/>
      </rPr>
      <t>2</t>
    </r>
    <r>
      <rPr>
        <i/>
        <sz val="9"/>
        <rFont val="Calibri"/>
        <family val="2"/>
        <charset val="238"/>
        <scheme val="minor"/>
      </rPr>
      <t xml:space="preserve"> * pol. 155213611)) * 1,2 ztratné; zaokr. na celý m</t>
    </r>
    <r>
      <rPr>
        <i/>
        <vertAlign val="superscript"/>
        <sz val="9"/>
        <rFont val="Calibri"/>
        <family val="2"/>
        <charset val="238"/>
        <scheme val="minor"/>
      </rPr>
      <t>2</t>
    </r>
  </si>
  <si>
    <r>
      <t>((Pl. 1 mb tyče 0,079522 m² * koef. zohledňující závit 1,3 * dl. nátěru kotev. prvku 0,6 m * pol. 153812121) + 
+ (pl. 1 mb tyče 0,102139 m² * koef. zohledňující závit 1,3 * dl. nátěru kotev. prvku 1,2 m * pol. 155213611) + (pl. podložky 0,0498 m</t>
    </r>
    <r>
      <rPr>
        <i/>
        <vertAlign val="superscript"/>
        <sz val="9"/>
        <rFont val="Calibri"/>
        <family val="2"/>
        <charset val="238"/>
        <scheme val="minor"/>
      </rPr>
      <t>2</t>
    </r>
    <r>
      <rPr>
        <i/>
        <sz val="9"/>
        <rFont val="Calibri"/>
        <family val="2"/>
        <charset val="238"/>
        <scheme val="minor"/>
      </rPr>
      <t xml:space="preserve"> * pol. 155213611)) * počet vrstev 2 ks * 1,2 ztratné; zaokr. na celý m</t>
    </r>
    <r>
      <rPr>
        <i/>
        <vertAlign val="superscript"/>
        <sz val="9"/>
        <rFont val="Calibri"/>
        <family val="2"/>
        <charset val="238"/>
        <scheme val="minor"/>
      </rPr>
      <t>2</t>
    </r>
  </si>
  <si>
    <r>
      <t>Půdorys. pl. 15,5 m</t>
    </r>
    <r>
      <rPr>
        <i/>
        <vertAlign val="superscript"/>
        <sz val="8"/>
        <rFont val="Arial"/>
        <family val="2"/>
        <charset val="238"/>
      </rPr>
      <t>2</t>
    </r>
    <r>
      <rPr>
        <i/>
        <sz val="8"/>
        <rFont val="Arial"/>
        <family val="2"/>
        <charset val="238"/>
      </rPr>
      <t xml:space="preserve"> * prům. výška 2,4 m * ztratné 1,05; zaokr. nahoru na 0,1 m</t>
    </r>
    <r>
      <rPr>
        <i/>
        <vertAlign val="superscript"/>
        <sz val="8"/>
        <rFont val="Arial"/>
        <family val="2"/>
        <charset val="238"/>
      </rPr>
      <t>3</t>
    </r>
  </si>
  <si>
    <r>
      <t>Součtová čelní pl. podezdívek 36 m</t>
    </r>
    <r>
      <rPr>
        <i/>
        <vertAlign val="superscript"/>
        <sz val="8"/>
        <rFont val="Arial"/>
        <family val="2"/>
        <charset val="238"/>
      </rPr>
      <t>2</t>
    </r>
    <r>
      <rPr>
        <i/>
        <sz val="8"/>
        <rFont val="Arial"/>
        <family val="2"/>
        <charset val="238"/>
      </rPr>
      <t xml:space="preserve"> * prům. tl. lícovaného zdiva 0,3 m; zaokr. nahoru na 0,1 m</t>
    </r>
    <r>
      <rPr>
        <i/>
        <vertAlign val="superscript"/>
        <sz val="8"/>
        <rFont val="Arial"/>
        <family val="2"/>
        <charset val="238"/>
      </rPr>
      <t>3</t>
    </r>
  </si>
  <si>
    <r>
      <t>Součtová čelní pl. podezdívek 36 m</t>
    </r>
    <r>
      <rPr>
        <i/>
        <vertAlign val="superscript"/>
        <sz val="8"/>
        <rFont val="Arial"/>
        <family val="2"/>
        <charset val="238"/>
      </rPr>
      <t>2</t>
    </r>
    <r>
      <rPr>
        <i/>
        <sz val="8"/>
        <rFont val="Arial"/>
        <family val="2"/>
        <charset val="238"/>
      </rPr>
      <t xml:space="preserve"> / (rastr 1,5 * 1,5 m) * 1,2 pro dodatečné nesystémové kotvení; zaokr. na celý ks</t>
    </r>
  </si>
  <si>
    <r>
      <t>Součtová čelní pl. podezdívek 36 m</t>
    </r>
    <r>
      <rPr>
        <i/>
        <vertAlign val="superscript"/>
        <sz val="9"/>
        <rFont val="Calibri"/>
        <family val="2"/>
        <charset val="238"/>
        <scheme val="minor"/>
      </rPr>
      <t>2</t>
    </r>
    <r>
      <rPr>
        <i/>
        <sz val="9"/>
        <rFont val="Calibri"/>
        <family val="2"/>
        <charset val="238"/>
        <scheme val="minor"/>
      </rPr>
      <t xml:space="preserve"> * koef. nerovnosti povrchu 1,2; zaokr. na celý m</t>
    </r>
    <r>
      <rPr>
        <i/>
        <vertAlign val="superscript"/>
        <sz val="9"/>
        <rFont val="Calibri"/>
        <family val="2"/>
        <charset val="238"/>
        <scheme val="minor"/>
      </rPr>
      <t>2</t>
    </r>
  </si>
  <si>
    <t>Ochranný plot výšky do 2,0 m</t>
  </si>
  <si>
    <t>Dvouzákrutová, ocelová ZnAl síť s oky 80 x 100 mm s výrobně podélně vpletenými lany pr. 8 mm, po 1,0 m. Tahová pevnost sítě min. 50 kN/m, tahová pevnost pásu sítě min. 219 kN. Drát pletiva min. pr. 2,7 mm, tahová pevnost 350 - 550 Mpa.</t>
  </si>
  <si>
    <t>Síť na skálu s oky 80 x 100 mm s vpleteným lanem po 500 mm</t>
  </si>
  <si>
    <t>Síť na skálu s oky 80 x 100 mm s vpleteným lanem po 1000 mm</t>
  </si>
  <si>
    <r>
      <t>35 % z pol. 155214111; zaokr. na celý m</t>
    </r>
    <r>
      <rPr>
        <i/>
        <vertAlign val="superscript"/>
        <sz val="9"/>
        <rFont val="Calibri"/>
        <family val="2"/>
        <charset val="238"/>
        <scheme val="minor"/>
      </rPr>
      <t>2</t>
    </r>
  </si>
  <si>
    <t>Zavrtávací injekční tyče z oceli 28Mn6 (580 MPa), min. pr. 32 mm, dl. min. 3,0 m pro kotvení sítí po obvodu, systémové a nesystémové kotvení. Základní rastr kotvení bude 3 x 2 m (H x V). Každá kotevní tyč bude dodána včetně příslušenství (spojníky, podložka 150 x 150 x 8 mm, matka).</t>
  </si>
  <si>
    <t>Síť s PVL á 0,5 m: ((součet horizont. dl. síťované pl. 224 m * koef. členitosti 1,2 / os. vzd. prvků 3 m + 15 ks krajní) + (součet vertikál. dl. síťované pl. 81 m * koef. členitosti 1,2 / os. vzd. prvků 2 m + 15 ks krajní)) + síť s PVL á 1,0 m: ((součet horizont. dl. síťované pl. 450 m * koef. členitosti 1,3 / os. vzd. prvků 3 m + 6 ks krajní) + (součet vertikál. dl. síťované pl. 59 m * koef. členitosti 1,3 / os. vzd. prvků 2 m + 6 ks krajní)) + (pol. 155214111 / (rastr 3 * 2 m) * 1,15 na prokopírování povrchu); zaokr. na celý ks</t>
  </si>
  <si>
    <t>Síť s PVL á 0,5 m: (součet horizont. a vertikal. dl. síťované pl. 305 m * koef. členitosti 1,2) + síť s PVL á 1,0 m: (součet horizont. a vertikal. dl. síťované pl. 509 m * koef. členitosti 1,3) + (lano pro vzájemné spojení jednotlivých pásů sítě pol. 155214111 * koef. 0,35); zaokr. na celý m</t>
  </si>
  <si>
    <t>Síť s PVL á 0,5 m: (součet horizont. a vertikal. dl. síťované pl. 305 m * koef. členitosti 1,2 * 1,2 ztratné na prořezy, překryvy a zpět. ohnutí) + síť s PVL á 1,0 m: (součet horizont. a vertikal. dl. síťované pl. 509 m * koef. členitosti 1,3 * 1,2 ztratné na prořezy, překryvy a zpět. ohnutí); zaokr. na celý m</t>
  </si>
  <si>
    <t>Zajištění skalního svahu ocel. sítí 80 x 100 mm s PVL á 0,5 / 1,0 m</t>
  </si>
  <si>
    <t>Maloprofilové vrty průběžným sacím vrtáním, průměru přes 56 do 93 mm, do úklonu 45°, v hl 0 až 25 m, v hornině třídy V a VI</t>
  </si>
  <si>
    <t>Maloprofilové vrty průbežným sacím vrtáním, průměru přes 93 do 156 mm, do úklonu 45°, v hl 0 až 25 m, v hornině třídy V a VI</t>
  </si>
  <si>
    <t>Realizace vrtů pro zadní a postranní kotvení dynamických bariér. Vrty budou min. pr. 114 mm, provedeny bezjádrovým vrtáním se vzduchovým výplachem. Skutečné rozmístění kotevních prvků určí geotechnický dozor zhotovitele přímo na stavbě dle daných geologických podmínek.</t>
  </si>
  <si>
    <t>Realizace vrtů pro založení sloupů dynamických bariér, kotvení dopletů terénních depresí a deviační kotvení. Vrty budou min. pr. 76 mm, provedeny bezjádrovým vrtáním se vzduchovým výplachem. Skutečné rozmístění kotevních prvků určí geotechnický dozor zhotovitele přímo na stavbě dle daných geologických podmínek.</t>
  </si>
  <si>
    <t>12 ks kotev. prvků * dl. vrtu 4,0 m + 2 ks kotev. prvků * dl. vrtu 8,0 m</t>
  </si>
  <si>
    <t>Bednění základových konstrukcí, patek a bloků, zřízení</t>
  </si>
  <si>
    <t>Betonové patky sloupů budou provedeny do dřevěného bednění.</t>
  </si>
  <si>
    <t>Bednění základových konstrukcí, patek a bloků, odstranění a očištění</t>
  </si>
  <si>
    <t>Pol. 275354111</t>
  </si>
  <si>
    <t>Odstranění dřevěného bednění.</t>
  </si>
  <si>
    <t>Základové patky z betonu třídy C25/30 XC2 budou rozměru cca 0,5 x 0,5 x 0,8 m. Skutečný tvar bude dle provedení výkopu, dle místních základových poměrů.</t>
  </si>
  <si>
    <r>
      <t>Rozměr bet. patky (0,5 * 0,5 * 0,8 m) * počet všech patek 8 ks * koef. nepravidelnosti výkopu 1,2; zaokr. nahoru na 0,1 m</t>
    </r>
    <r>
      <rPr>
        <i/>
        <vertAlign val="superscript"/>
        <sz val="9"/>
        <rFont val="Calibri"/>
        <family val="2"/>
        <charset val="238"/>
        <scheme val="minor"/>
      </rPr>
      <t>3</t>
    </r>
  </si>
  <si>
    <r>
      <t>Rozměr bednění (0,5 * 0,8 m * 4 ks) * počet všech patek 8 ks * 1,2 ztratné; zaokr. na celý m</t>
    </r>
    <r>
      <rPr>
        <i/>
        <vertAlign val="superscript"/>
        <sz val="9"/>
        <rFont val="Calibri"/>
        <family val="2"/>
        <charset val="238"/>
        <scheme val="minor"/>
      </rPr>
      <t>2</t>
    </r>
  </si>
  <si>
    <t>Trny z oceli prováděné horolezeckou technikou bez oka z celozávitové oceli pro uchycení sítí zainjektované cementovou maltou délky do 3 m, průměru přes 20 do 26 mm</t>
  </si>
  <si>
    <t>Počet sloupů 3 ks * 2 ks trnů na založení sloupu</t>
  </si>
  <si>
    <t>Všechny kotevní prvky budou opatřeny PKO ještě před instalací do vrtu, přičemž přetažení systému PKO do vrtu bude min. 200 mm. Způsob a provedení PKO kotevních prvků bude dle ČSN EN 1537. Krycí (vrchní) vrstvy PKO budou provedeny v černé barevě.</t>
  </si>
  <si>
    <t>Injektování aktivovanými směsmi, vzestupné, tlakem do 0,6 Mpa</t>
  </si>
  <si>
    <t>(Pol. 224211116 + 224311116) * 0,5 h/bm vrtu; zaokr. nahoru na 0,1 h</t>
  </si>
  <si>
    <t>Celozávitové kotevníní tyče z oceli B550B (550 MPa), min. pr. 25 mm, dl. min. 3,0 m do vrtu min. pr. 76 mm pro založení sloupů dynamické bariéry I. skupiny (odolnost do 1 000 kJ).</t>
  </si>
  <si>
    <t>Počet sloupů 5 ks * 2 ks trnů pro založení jednoho sloupu</t>
  </si>
  <si>
    <t>Celozávitové kotevníní tyče z oceli B550B (550 MPa), min. pr. 32 mm, dl. min. 3,0 m do vrtu min. pr. 76 mm pro založení sloupů dynamické bariéry II. skupiny (odolnost do 2 000 kJ).</t>
  </si>
  <si>
    <t>(Součtová dl. kotvené části dopletů 10 m / os. vzd. prvků 1,5 m + 1 ks krajní) + 1 ks pro deviační kotvení; zaokr. na celý ks</t>
  </si>
  <si>
    <t>Celozávitové kotevníní tyče s okem z oceli B550B (550 MPa), min. pr. 32 mm, dl. min. 3,0 m do vrtu min. pr. 76 mm pro kotvení dopletů terénních depresí a deviační kotvení.</t>
  </si>
  <si>
    <t>Trny z oceli prováděné horolezeckou technikou s okem z betonářské oceli pro uchycení lana při montáži sítí a sloupků záchytného plotu zainjektované cementovou maltou délky do 3 m, průměru přes 26 do 32 mm</t>
  </si>
  <si>
    <t>(Pol. 155213112 + 155213113 + 155213313) * dl. vrtu 3,0 m</t>
  </si>
  <si>
    <r>
      <t>((Pl. 1 mb tyče 0,079522 m² * koef. zohledňující závit 1,3 * pol. 155213112 * dl. nátěru kotev. prvku 3,0 m) + (pl. 1 mb tyče 0,102139 m² * koef. zohledňující závit 1,3 * dl. nátěru kotev. prvku 3,0 m * (pol. 155213113 + 155213313))) * 1,2 ztratné; zaokr. na celý m</t>
    </r>
    <r>
      <rPr>
        <i/>
        <vertAlign val="superscript"/>
        <sz val="9"/>
        <rFont val="Calibri"/>
        <family val="2"/>
        <charset val="238"/>
        <scheme val="minor"/>
      </rPr>
      <t>2</t>
    </r>
  </si>
  <si>
    <r>
      <t>((Pl. 1 mb tyče 0,079522 m² * koef. zohledňující závit 1,3 * pol. 155213112 * dl. nátěru kotev. prvku 0,4 m) + (pl. 1 mb tyče 0,102139 m² * koef. zohledňující závit 1,3 * dl. nátěru kotev. prvku 0,4 m * (pol. 155213113 + 155213313))) * počet vrstev 2 ks * 1,2 ztratné; zaokr. na celý m</t>
    </r>
    <r>
      <rPr>
        <i/>
        <vertAlign val="superscript"/>
        <sz val="9"/>
        <rFont val="Calibri"/>
        <family val="2"/>
        <charset val="238"/>
        <scheme val="minor"/>
      </rPr>
      <t>2</t>
    </r>
  </si>
  <si>
    <t>Montáž dynamické bariéry, prováděná horolezeckou technikou, I. skupiny (odolnost do 1 000 kJ)</t>
  </si>
  <si>
    <t>Montáž dynamické bariéry, prováděná horolezeckou technikou, II. skupiny (odolnost do 2 000 kJ)</t>
  </si>
  <si>
    <t>Pol. R-155215121-1</t>
  </si>
  <si>
    <t>R-155215121-1</t>
  </si>
  <si>
    <t>Dynamická bariéra II. skupiny (odolnost do 2 000 kJ), včetně všech kotevních prvků a spojovacího sortimentu</t>
  </si>
  <si>
    <t>R-155215121-2</t>
  </si>
  <si>
    <t>Montáž ocelového lana pro uchycení sítě, prováděná horolezeckou technikou, pr. přes 10 mm</t>
  </si>
  <si>
    <t>Montáž ocel. pZn lana pro vlastní uchycení dopletů terénních depresí, včetně manipulace s lanem, montáže a dodání spojovacího materiálu.</t>
  </si>
  <si>
    <t>R-155214212</t>
  </si>
  <si>
    <t>Lano ocelové, šestipramenné 6 x 19 drátů, pozinkované, 1 770 Mpa, D 18 mm</t>
  </si>
  <si>
    <t>Pol. 155214212 * 1,2 ztratné na překryvy, prořezy a zpětné ohnutí; zaokr. na celý m</t>
  </si>
  <si>
    <t>R-155215111-1</t>
  </si>
  <si>
    <t>Pol. R-155215111-1</t>
  </si>
  <si>
    <t>Dl. dynamické bariéry 22 m * výška 4,0 m</t>
  </si>
  <si>
    <t>Dl. dynamické bariéry 40 m * výška 4,5 m</t>
  </si>
  <si>
    <t>Dvouzákrutová ZnAl síť s oky 80 x 100 mm z drátu D 2,7 mm, s vpleteným lanem po 1000 mm, včetně montáže prováděné horolozeckou technikou</t>
  </si>
  <si>
    <r>
      <t>Součtová pl. dopletů 8 m</t>
    </r>
    <r>
      <rPr>
        <i/>
        <vertAlign val="superscript"/>
        <sz val="9"/>
        <rFont val="Calibri"/>
        <family val="2"/>
        <charset val="238"/>
        <scheme val="minor"/>
      </rPr>
      <t>2</t>
    </r>
    <r>
      <rPr>
        <i/>
        <sz val="9"/>
        <rFont val="Calibri"/>
        <family val="2"/>
        <charset val="238"/>
        <scheme val="minor"/>
      </rPr>
      <t xml:space="preserve"> * koef. členitosti 1,3 * 1,2 ztratné na překryvy, prořezy a zpětné ohnutí; zaokr. na celý m</t>
    </r>
    <r>
      <rPr>
        <i/>
        <vertAlign val="superscript"/>
        <sz val="9"/>
        <rFont val="Calibri"/>
        <family val="2"/>
        <charset val="238"/>
        <scheme val="minor"/>
      </rPr>
      <t>2</t>
    </r>
  </si>
  <si>
    <t>Pro vykrytí terénních depresí formou dopletení bude použita dvouzákrutová, ocelová ZnAl síť s oky 80 x 100 mm s výrobně podélně vpletenými lany pr. 8 mm, po 1,0 m. Tahová pevnost sítě min. 50 kN/m, tahová pevnost pásu sítě min. 219 kN. Drát pletiva min. pr. 2,7 mm, tahová pevnost 350 - 550 Mpa.</t>
  </si>
  <si>
    <t>Součtový obvod dopletů 18 m * koef. členitosti 1,3; zaokr. na celý m</t>
  </si>
  <si>
    <r>
      <t xml:space="preserve">Realizace dynamické bariéry, prováděná horolezeckou technikou. Přesná specifikace polohy DB je možná až po provedení prací na odstranění náletu, očištění zvětralých částí a odtěžení nestabilních bloků. Práce bude na místě řídit geotechnik stavby nebo projektant dle daných geologických podmínek. </t>
    </r>
    <r>
      <rPr>
        <i/>
        <u/>
        <sz val="9"/>
        <rFont val="Calibri"/>
        <family val="2"/>
        <charset val="238"/>
        <scheme val="minor"/>
      </rPr>
      <t>Provedení bariéry bude dle instalačního manuálu výrobce konkrétní DB.</t>
    </r>
  </si>
  <si>
    <t>Dynamická bariéra I. skupiny (odolnost do 1 000 kJ), včetně všech kotevních prvků a spojovacího sortimentu</t>
  </si>
  <si>
    <t>Ocelové pZn lano min. pr. 18 mm, šestipramenné, 114 drátů (6 x 19 WSC), třídy pevnosti 1 770 Mpa, jmenovité únosnosti min. 207 kN.</t>
  </si>
  <si>
    <t>Všechny sloupy a kotevní prvky budou opatřeny PKO ještě před instalací do vrtu / betonové patky, přičemž přetažení systému PKO do vrtu bude min. 200 mm. Způsob a provedení PKO kotevních prvků bude dle ČSN EN 1537. Krycí (vrchní) vrstvy PKO budou provedeny v černé barvě.</t>
  </si>
  <si>
    <r>
      <t>Součtová pl. z půdorysu 4,7 m</t>
    </r>
    <r>
      <rPr>
        <i/>
        <vertAlign val="superscript"/>
        <sz val="9"/>
        <rFont val="Calibri"/>
        <family val="2"/>
        <charset val="238"/>
        <scheme val="minor"/>
      </rPr>
      <t>2</t>
    </r>
    <r>
      <rPr>
        <i/>
        <sz val="9"/>
        <rFont val="Calibri"/>
        <family val="2"/>
        <charset val="238"/>
        <scheme val="minor"/>
      </rPr>
      <t xml:space="preserve"> * prům. mocnost odtěžení 0,5 m; zaokr. nahoru na 0,1 m</t>
    </r>
    <r>
      <rPr>
        <i/>
        <vertAlign val="superscript"/>
        <sz val="9"/>
        <rFont val="Calibri"/>
        <family val="2"/>
        <charset val="238"/>
        <scheme val="minor"/>
      </rPr>
      <t>3</t>
    </r>
  </si>
  <si>
    <r>
      <t>(Dl. obednění 32 m * výška 2,0 m) * 1,2 ztratné na prořezy a překryvy; zaokr. na celý m</t>
    </r>
    <r>
      <rPr>
        <i/>
        <vertAlign val="superscript"/>
        <sz val="9"/>
        <rFont val="Calibri"/>
        <family val="2"/>
        <charset val="238"/>
        <scheme val="minor"/>
      </rPr>
      <t>2</t>
    </r>
  </si>
  <si>
    <t>Pokládka ochranných gumových plátů, včetně jejich odstranění po dokončení stavby</t>
  </si>
  <si>
    <r>
      <rPr>
        <i/>
        <u/>
        <sz val="9"/>
        <rFont val="Calibri"/>
        <family val="2"/>
        <charset val="238"/>
        <scheme val="minor"/>
      </rPr>
      <t>V průběhu stavby nesmí dojít k poškození stávajících konstrukcí, nacházejících se pod skalním svahem.</t>
    </r>
    <r>
      <rPr>
        <i/>
        <sz val="9"/>
        <rFont val="Calibri"/>
        <family val="2"/>
        <charset val="238"/>
        <scheme val="minor"/>
      </rPr>
      <t xml:space="preserve"> Jedná se především o stávající říční jeřáb. V době a v místě provádění stavebních prací (čištění a odtěžování skalního masivu) bude tato konstrukce před mechanickým poškozením při pádu horniny, chráněna vrstvou starých pneumatik a dřevěným obedněním. Polohu upřesní geotechnik  stavby nebo projektant na místě. Dočasné zajištění podrobně viz část D.1.2.1 Technická zpráva.</t>
    </r>
  </si>
  <si>
    <r>
      <rPr>
        <i/>
        <u/>
        <sz val="9"/>
        <rFont val="Calibri"/>
        <family val="2"/>
        <charset val="238"/>
        <scheme val="minor"/>
      </rPr>
      <t>V průběhu stavby nesmí dojít k poškození stávajících konstrukcí, nacházejících se pod skalním svahem.</t>
    </r>
    <r>
      <rPr>
        <i/>
        <sz val="9"/>
        <rFont val="Calibri"/>
        <family val="2"/>
        <charset val="238"/>
        <scheme val="minor"/>
      </rPr>
      <t xml:space="preserve"> Jedná se především o povrch bezprostředně přilehlých zpevněných ploch. V době a v místě provádění sanačních prací (čištění a odtěžování skalního masivu) budou tyto zpevněné plochy před mechanickým poškozením při pádu horniny, chráněny gumovými pláty. Polohu upřesní geotechnik  stavby nebo projektant na místě. Dočasné zajištění podrobně viz část D.1.2.1 Technická zpráva.</t>
    </r>
  </si>
  <si>
    <r>
      <rPr>
        <i/>
        <u/>
        <sz val="9"/>
        <rFont val="Calibri"/>
        <family val="2"/>
        <charset val="238"/>
        <scheme val="minor"/>
      </rPr>
      <t>V průběhu stavby nesmí dojít k poškození stávajících, okolních stromů, které budou zachovány.</t>
    </r>
    <r>
      <rPr>
        <i/>
        <sz val="9"/>
        <rFont val="Calibri"/>
        <family val="2"/>
        <charset val="238"/>
        <scheme val="minor"/>
      </rPr>
      <t xml:space="preserve"> V době a v místě provádění stavebních prací (čištění a odtěžování skalního masivu) budou tyto stromy před mechanickým poškozením při pádu horniny, chráněny dřevěným obedněním. Polohu upřesní geotechnik  stavby nebo projektant na místě. Dočasné zajištění podrobně viz část D.1.2.1 Technická zpráva.</t>
    </r>
  </si>
  <si>
    <r>
      <t>Souštová dl. pokládky 130 m * šířka plátu 1,5 m * 1,2 ztratné na prořezy a překryvy; zaokr. na celý m</t>
    </r>
    <r>
      <rPr>
        <i/>
        <vertAlign val="superscript"/>
        <sz val="9"/>
        <rFont val="Calibri"/>
        <family val="2"/>
        <charset val="238"/>
        <scheme val="minor"/>
      </rPr>
      <t>2</t>
    </r>
  </si>
  <si>
    <t>mden</t>
  </si>
  <si>
    <t>Pronájem dočasných betonových svodidel po dobu realizace stavby, viz návrh HMG stavebních prací.</t>
  </si>
  <si>
    <t>Demontáž a odvoz dočasných betonových svodidel.</t>
  </si>
  <si>
    <t>R-911381522</t>
  </si>
  <si>
    <t>Příplatek k dočasným jednostranným betonovým svodidlům za první a ZKD den použití přes 30 do 180 dnů</t>
  </si>
  <si>
    <t>Trny z oceli prováděné horolezeckou technikou s okem z betonářské oceli pro uchycení lana při montáži sítí a sloupků záchytného plotu zainjektované cementovou maltou délky do 3 m, průměru přes 20 do 26 mm</t>
  </si>
  <si>
    <t>kus</t>
  </si>
  <si>
    <t>Montáž ochranné sítě zavěšené na konstrukci lešení z textilie z umělých vláken</t>
  </si>
  <si>
    <r>
      <t>Pol. 944511111 * 1,2 ztratné na prořezy, překryvy a zpět. ohnutí; zaokr. na celý m</t>
    </r>
    <r>
      <rPr>
        <i/>
        <vertAlign val="superscript"/>
        <sz val="9"/>
        <rFont val="Calibri"/>
        <family val="2"/>
        <charset val="238"/>
        <scheme val="minor"/>
      </rPr>
      <t>2</t>
    </r>
  </si>
  <si>
    <t>Dočasná záchytná k-ce z polyamidové uzlové sítě bude doplněna o netkanou polypropylenovou geotextílii s plošnou hmotností 200 g/m².</t>
  </si>
  <si>
    <t>R-919726121</t>
  </si>
  <si>
    <t>Montáž ztužujících lan dočasných záchytných k-cí, včetně manipulace s lanem, montáže a dodání spojovacího materiálu.</t>
  </si>
  <si>
    <t>Demontáž ochranné sítě zavěšené na konstrukci lešení z textilie z umělých vláken</t>
  </si>
  <si>
    <t>Pol. 944511111</t>
  </si>
  <si>
    <t>Demontáž dočasné záchytné k-ce po dokončení stavby. Za realizaci a také odstranění po dokončení stavby je zodpovědný dodavatel sanačních prací.</t>
  </si>
  <si>
    <t>R-911381122</t>
  </si>
  <si>
    <t>Pol. R-911381122</t>
  </si>
  <si>
    <t>Součtová dl. bet. svodidel průběžných 100 m + součtová dl. bet. svodidel koncových 2 ks * 4 m</t>
  </si>
  <si>
    <t>Betonové jednostranné svodidlo typu New Jersey, délky 4 m, výšky min. 0,8 m. Kompletní dovoz, osazení a montáž v místě stavby.</t>
  </si>
  <si>
    <t>Odstranění silničního betonového svodidla délky 4 m, výšky 0,8 m s naložením na dopravní prostředek</t>
  </si>
  <si>
    <t>Součtová dl. bet. průběžných svodidel 100 m / os. vzd. sloupků 4 m + 1 ks krajní sloupek; zaokr. na celý ks</t>
  </si>
  <si>
    <t>Celozávitové kotevní tyče z oceli B550B (550 MPa), min. pr. 25 mm, dl. min. 3,0 m pro realizaci sloupků dočasné záchytné k-ce, celkové výšky min. 3,0 m nad terénem. Sloupky budou osově po 4,0 m osazeny do betonových svodidel a budou s kovaným okem, přes které bude vedeno nosné lano.</t>
  </si>
  <si>
    <r>
      <t>Součtová dl. bet. průběžných svodidel 100 m * výška ochranné sítě 2,2 m; zaokr. na celý m</t>
    </r>
    <r>
      <rPr>
        <i/>
        <vertAlign val="superscript"/>
        <sz val="9"/>
        <rFont val="Calibri"/>
        <family val="2"/>
        <charset val="238"/>
        <scheme val="minor"/>
      </rPr>
      <t>2</t>
    </r>
  </si>
  <si>
    <t>Montáž dočasné záchytné k-ce, včetně navázání ke každému sloupku vázacím drátem, včetně jeho dodání. Kompozitní síť bude ztužena a navázána také na ocelové pZn lano v horní, střední a spodní části.</t>
  </si>
  <si>
    <t>Polyamidová uzlová síť s rozměrem ok 50 x 50 mm ze šňůrky min. pr. 3,5 mm</t>
  </si>
  <si>
    <t>Dočasná záchytná k-ce z polyamidové uzlové sítě s rozměrem ok 50 x 50 mm ze šňůrky min. pr. 3,5 mm.</t>
  </si>
  <si>
    <t>Součtová dl. bet. průběžných svodidel 100 m * 3 ks ztužení po výšce; zaokr. na celý m</t>
  </si>
  <si>
    <t>Sbírání a třídění kamene nebo cihel ručně ze suti s očištěním kamene</t>
  </si>
  <si>
    <r>
      <t>30 % z pol. 981511117; zaokr. nahoru na 0,1 m</t>
    </r>
    <r>
      <rPr>
        <i/>
        <vertAlign val="superscript"/>
        <sz val="9"/>
        <rFont val="Calibri"/>
        <family val="2"/>
        <charset val="238"/>
        <scheme val="minor"/>
      </rPr>
      <t>3</t>
    </r>
  </si>
  <si>
    <t>Pro realizaci nové, kotvené kamenné podezdívky projekt předpokládá cca 30 % stávajícího, znovu použitelného kamene, které bude doplněno vhodným kamenem z očištění a odtěžení skalního svahu.</t>
  </si>
  <si>
    <t>100 % z pol. 112151112; zaokr. na celý ks</t>
  </si>
  <si>
    <r>
      <t>(Součtová pl. z půdorysu 212 m² * prům. výška napadávky horniny, či osyp. kužele 0,8 m) * 0,5; zaokr. nahoru na 0,1 m</t>
    </r>
    <r>
      <rPr>
        <i/>
        <vertAlign val="superscript"/>
        <sz val="9"/>
        <rFont val="Calibri"/>
        <family val="2"/>
        <charset val="238"/>
        <scheme val="minor"/>
      </rPr>
      <t>3</t>
    </r>
  </si>
  <si>
    <r>
      <t>((Součtová pl. z půdorysu 33 m² * prům. výška napadávky horniny, či osyp. kužele 0,8 m) + (součtová pl. z půdorysu 148 m² * prům. výška napadávky horniny, či osyp. kužele 1,7 m)) * 0,8; zaokr. nahoru na 0,1 m</t>
    </r>
    <r>
      <rPr>
        <i/>
        <vertAlign val="superscript"/>
        <sz val="9"/>
        <rFont val="Calibri"/>
        <family val="2"/>
        <charset val="238"/>
        <scheme val="minor"/>
      </rPr>
      <t>3</t>
    </r>
  </si>
  <si>
    <r>
      <t>Půdorysná pl. zídky 30 m</t>
    </r>
    <r>
      <rPr>
        <i/>
        <vertAlign val="superscript"/>
        <sz val="9"/>
        <rFont val="Calibri"/>
        <family val="2"/>
        <charset val="238"/>
        <scheme val="minor"/>
      </rPr>
      <t>2</t>
    </r>
    <r>
      <rPr>
        <i/>
        <sz val="9"/>
        <rFont val="Calibri"/>
        <family val="2"/>
        <charset val="238"/>
        <scheme val="minor"/>
      </rPr>
      <t xml:space="preserve"> * prům. výška zídky 1,0 m; zaokr. nahoru na 0,1 m</t>
    </r>
    <r>
      <rPr>
        <i/>
        <vertAlign val="superscript"/>
        <sz val="9"/>
        <rFont val="Calibri"/>
        <family val="2"/>
        <charset val="238"/>
        <scheme val="minor"/>
      </rPr>
      <t>3</t>
    </r>
  </si>
  <si>
    <r>
      <t>(Součtová pl. z půdorysu 110 m² * prům. výška napadávky horniny, či osyp. kužele 0,9 m) * 0,5; zaokr. nahoru na 0,1 m</t>
    </r>
    <r>
      <rPr>
        <i/>
        <vertAlign val="superscript"/>
        <sz val="9"/>
        <rFont val="Calibri"/>
        <family val="2"/>
        <charset val="238"/>
        <scheme val="minor"/>
      </rPr>
      <t>3</t>
    </r>
  </si>
  <si>
    <r>
      <t>Odborný odhad na základě návštěvy lokality: 9,5 m</t>
    </r>
    <r>
      <rPr>
        <i/>
        <vertAlign val="superscript"/>
        <sz val="9"/>
        <rFont val="Calibri"/>
        <family val="2"/>
        <charset val="238"/>
        <scheme val="minor"/>
      </rPr>
      <t>3</t>
    </r>
  </si>
  <si>
    <r>
      <t>Odborný odhad na základě návštěvy lokality: 25,7 m</t>
    </r>
    <r>
      <rPr>
        <i/>
        <vertAlign val="superscript"/>
        <sz val="9"/>
        <rFont val="Calibri"/>
        <family val="2"/>
        <charset val="238"/>
        <scheme val="minor"/>
      </rPr>
      <t>3</t>
    </r>
  </si>
  <si>
    <t>Trny z injekčních zavrtávacích tyčí prováděné horolezeckou technikou zainjektované cem. maltou pr. 32 mm včetně vrtů přenosnými vrtacími kladivy na ztracenou korunku průměru 51 mm, délky přes 2 do 3 m</t>
  </si>
  <si>
    <t>Trny z injekčních zavrtávacích tyčí prováděné horolezeckou technikou zainjektované cem. maltou pr. 32 mm včetně vrtů přenosnými vrtacími kladivy na ztracenou korunku průměru 51 mm, délky přes 4 do 5 m</t>
  </si>
  <si>
    <t>Síť s PVL á 1,0 m: (součet horizont. dl. síťované pl. 20 m * koef. členitosti 1,3 / os. vzd. prvků 2 m + 1 ks krajní); zaokr. na celý ks</t>
  </si>
  <si>
    <t>Zavrtávací injekční tyče z oceli 28Mn6 (580 MPa), min. pr. 32 mm, dl. min. 5,0 m pro doplňkové kotvení sítí v kritických místech skalního svahu. Osová vzdálenost kotevních prvků bude 2 m. Každá kotevní tyč bude dodána včetně příslušenství (spojníky, podložka 150 x 150 x 8 mm, matka).</t>
  </si>
  <si>
    <r>
      <t>50 % z ((součtová pl. z půdorysu 1 288 m</t>
    </r>
    <r>
      <rPr>
        <i/>
        <vertAlign val="superscript"/>
        <sz val="9"/>
        <rFont val="Calibri"/>
        <family val="2"/>
        <charset val="238"/>
        <scheme val="minor"/>
      </rPr>
      <t>2</t>
    </r>
    <r>
      <rPr>
        <i/>
        <sz val="9"/>
        <rFont val="Calibri"/>
        <family val="2"/>
        <charset val="238"/>
        <scheme val="minor"/>
      </rPr>
      <t xml:space="preserve"> * koef. sklonu 2,00 * koef. členitosti 1,3) + (součtová pl. z půdorysu 1 415 m</t>
    </r>
    <r>
      <rPr>
        <i/>
        <vertAlign val="superscript"/>
        <sz val="9"/>
        <rFont val="Calibri"/>
        <family val="2"/>
        <charset val="238"/>
        <scheme val="minor"/>
      </rPr>
      <t>2</t>
    </r>
    <r>
      <rPr>
        <i/>
        <sz val="9"/>
        <rFont val="Calibri"/>
        <family val="2"/>
        <charset val="238"/>
        <scheme val="minor"/>
      </rPr>
      <t xml:space="preserve"> * koef. sklonu 1,56 * koef. členitosti 1,2) + (součtová pl. z půdorysu 1 444 m</t>
    </r>
    <r>
      <rPr>
        <i/>
        <vertAlign val="superscript"/>
        <sz val="9"/>
        <rFont val="Calibri"/>
        <family val="2"/>
        <charset val="238"/>
        <scheme val="minor"/>
      </rPr>
      <t>2</t>
    </r>
    <r>
      <rPr>
        <i/>
        <sz val="9"/>
        <rFont val="Calibri"/>
        <family val="2"/>
        <charset val="238"/>
        <scheme val="minor"/>
      </rPr>
      <t xml:space="preserve"> * koef. sklonu 2,67 * koef. členitosti 1,3)); zaokr. na celý m</t>
    </r>
    <r>
      <rPr>
        <i/>
        <vertAlign val="superscript"/>
        <sz val="9"/>
        <rFont val="Calibri"/>
        <family val="2"/>
        <charset val="238"/>
        <scheme val="minor"/>
      </rPr>
      <t>2</t>
    </r>
  </si>
  <si>
    <r>
      <t>40 % z ((součtová pl. z půdorysu 1 789 m</t>
    </r>
    <r>
      <rPr>
        <i/>
        <vertAlign val="superscript"/>
        <sz val="9"/>
        <rFont val="Calibri"/>
        <family val="2"/>
        <charset val="238"/>
        <scheme val="minor"/>
      </rPr>
      <t>2</t>
    </r>
    <r>
      <rPr>
        <i/>
        <sz val="9"/>
        <rFont val="Calibri"/>
        <family val="2"/>
        <charset val="238"/>
        <scheme val="minor"/>
      </rPr>
      <t xml:space="preserve"> * koef. sklonu 2,00 * koef. členitosti 1,3) + (součtová pl. z půdorysu 241 m</t>
    </r>
    <r>
      <rPr>
        <i/>
        <vertAlign val="superscript"/>
        <sz val="9"/>
        <rFont val="Calibri"/>
        <family val="2"/>
        <charset val="238"/>
        <scheme val="minor"/>
      </rPr>
      <t>2</t>
    </r>
    <r>
      <rPr>
        <i/>
        <sz val="9"/>
        <rFont val="Calibri"/>
        <family val="2"/>
        <charset val="238"/>
        <scheme val="minor"/>
      </rPr>
      <t xml:space="preserve"> * koef. sklonu 1,56 * koef. členitosti 1,2) + (součtová pl. z půdorysu 1 553 m</t>
    </r>
    <r>
      <rPr>
        <i/>
        <vertAlign val="superscript"/>
        <sz val="9"/>
        <rFont val="Calibri"/>
        <family val="2"/>
        <charset val="238"/>
        <scheme val="minor"/>
      </rPr>
      <t>2</t>
    </r>
    <r>
      <rPr>
        <i/>
        <sz val="9"/>
        <rFont val="Calibri"/>
        <family val="2"/>
        <charset val="238"/>
        <scheme val="minor"/>
      </rPr>
      <t xml:space="preserve"> * koef. sklonu 2,67 * koef. členitosti 1,3)) * mocnost 0,1 m; zaokr. nahoru na 0,1 m</t>
    </r>
    <r>
      <rPr>
        <i/>
        <vertAlign val="superscript"/>
        <sz val="9"/>
        <rFont val="Calibri"/>
        <family val="2"/>
        <charset val="238"/>
        <scheme val="minor"/>
      </rPr>
      <t>3</t>
    </r>
  </si>
  <si>
    <r>
      <t>Síť s PVL á 0,5 m: (součtová pl. z půdorysu 331 m² * koef. sklonu 1,56 * koef. členitosti 1,2) + síť s PVL á 1,0 m: (součtová pl. z půdorysu 764 m² * koef. sklonu 2,00 + součtová pl. z půdorysu 1 371 m² * koef. sklonu 2,67) * koef. členitosti 1,3; zaokr. na celý m</t>
    </r>
    <r>
      <rPr>
        <i/>
        <vertAlign val="superscript"/>
        <sz val="9"/>
        <rFont val="Calibri"/>
        <family val="2"/>
        <charset val="238"/>
        <scheme val="minor"/>
      </rPr>
      <t>2</t>
    </r>
  </si>
  <si>
    <r>
      <t>(Součtová pl. z půdorysu 331 m² * koef. sklonu 1,56 * koef. členitosti 1,2) * 1,2 ztratné na překryvy, prořezy a zpětné ohnutí; zaokr. na celý m</t>
    </r>
    <r>
      <rPr>
        <i/>
        <vertAlign val="superscript"/>
        <sz val="9"/>
        <rFont val="Calibri"/>
        <family val="2"/>
        <charset val="238"/>
        <scheme val="minor"/>
      </rPr>
      <t>2</t>
    </r>
  </si>
  <si>
    <r>
      <t>((Součtová pl. z půdorysu 764 m² * koef. sklonu 2,00 + součtová pl. z půdorysu 1 371 m² * koef. sklonu 2,67) * koef. členitosti 1,3) * 1,2 ztratné na překryvy, prořezy a zpětné ohnutí; zaokr. na celý m</t>
    </r>
    <r>
      <rPr>
        <i/>
        <vertAlign val="superscript"/>
        <sz val="9"/>
        <rFont val="Calibri"/>
        <family val="2"/>
        <charset val="238"/>
        <scheme val="minor"/>
      </rPr>
      <t>2</t>
    </r>
  </si>
  <si>
    <t>R-122211101</t>
  </si>
  <si>
    <t>Vlastní kotvení bude realizováno pomocí ocelového pZn lana min. pr. 10 mm s konstrukcí 6 x 19 + WSC, třídy pevnosti 1 770 MPa, jmenovité únosnosti min. 64 kN, přes zavrtávací injekční tyč z oceli 28Mn6 (580 MPa), min pr. 32 mm, dl. min. 1,5 m do vrtu min. pr. 51 mm nebo základové patky z betonu třídy C25/30 XC2, rozměru cca 0,5 x 0,5 x 0,7 m. Skutečný tvar bude dle provedení výkopu, dle místních základových poměrů.</t>
  </si>
  <si>
    <t>R-998003111</t>
  </si>
  <si>
    <t>Přesun hmot pro záchytné a ochranné konstrukce, ocelové sítě, kotvy, mikropiloty a injektování</t>
  </si>
  <si>
    <t>Přesun hmot pro zdi a valy samostatné se svislou nosnou konstrukcí zděnou nebo monolitickou betonovou tyčovou nebo plošnou vodorovná dopravní vzdálenost do 50 m, pro zdi výšky do 12 m</t>
  </si>
  <si>
    <t>Příplatek k přesunu hmot pro zděné a monolitické zdi a valy za zvětšený přesun do 1000 m</t>
  </si>
  <si>
    <t>Pol. 998153131</t>
  </si>
  <si>
    <t>Vnitrostaveništní manipulace a přesun kamene pro realizaci nové, kotvené kamenné podezdívky. Projekt předpokládá cca 30 % stávajícího, znovu použitelného kamene z rozebrané zídky, které bude doplněno vhodným kamenem z očištění a odtěžení skalního svahu.</t>
  </si>
  <si>
    <t>Příplatek k přesunu kamene pro realizaci nové, kotvené kamenné podezdívky.</t>
  </si>
  <si>
    <t>Odborný odhad geotechnika dle členitosti skalního svahu a četnosti, velikosti a šířky puklin: 15 ks</t>
  </si>
  <si>
    <t>(Pol. 981511117 - 985222111) * prům. obj. hmot. 2,6 t/m³; zaokr. na 0,01 t</t>
  </si>
  <si>
    <t>Pol. 327213113 * prům. obj. hmot. 2,6 t/m³; zaokr. na 0,01 t</t>
  </si>
  <si>
    <t>Pol. R-911381122 * celková předpokládaná doba stavby 122 dní</t>
  </si>
  <si>
    <t>Odborný odhad na základě návštěvy lokality: 7 ks</t>
  </si>
  <si>
    <t>012203000</t>
  </si>
  <si>
    <t>Geodetické práce při provádění stavby</t>
  </si>
  <si>
    <t>Geodetické zaměření v průběhu stavby.</t>
  </si>
  <si>
    <t>R-112211272</t>
  </si>
  <si>
    <t>R-112155315</t>
  </si>
  <si>
    <t>R-155211122</t>
  </si>
  <si>
    <t>R-155211311</t>
  </si>
  <si>
    <t>R-155211313</t>
  </si>
  <si>
    <t>R-122251104</t>
  </si>
  <si>
    <t>R-998001123</t>
  </si>
  <si>
    <t>Přesun hmot pro demolice objektů výšky do 21 m, včetně naložení, odvozu a zákonné likvidace</t>
  </si>
  <si>
    <t>Vnitrostaveništní manipulace a přesun stávajícího, nepoužitelného kamene z rozebrané zídky, který bude zhotovitelem stavby po odkoupení naložen, odvezen a zákonně zlikvidován.</t>
  </si>
  <si>
    <t>Demolice konstrukcí objektů zděných z kamene na sucho postupným rozebíráním, včetně naložení, odvozu a zákonné likvidace</t>
  </si>
  <si>
    <t>Stávající na sucho skládaná zídka z místního kamene bude ručně rozebrána a vhodný materiál bude použitý pro realizaci nové, kotvené kamenné podezdívky. Zbylý, nepoužitelný kámen bude zhotovitelem stavby po odkoupení naložen, odvezen a zákonně zlikvidován, viz pol. R-998001123.</t>
  </si>
  <si>
    <t>Odstranění pařezu ručně na svahu přes 1:1 o průměru pařezu na řezné ploše přes 200 do 300 mm, včetně naložení, odvozu a zákonné likvidace</t>
  </si>
  <si>
    <t>Očištění skalních ploch horolezeckou technikou, očištění ručními nástroji, motykami a páčidly, včetně naložení, odvozu a zákonné likvidace</t>
  </si>
  <si>
    <r>
      <t>Odkopávky a prokopávky nezapažené strojně v hornině třídy těžitelnosti I skupiny 3 přes 100 do 500 m</t>
    </r>
    <r>
      <rPr>
        <vertAlign val="superscript"/>
        <sz val="9"/>
        <rFont val="Calibri"/>
        <family val="2"/>
        <charset val="238"/>
        <scheme val="minor"/>
      </rPr>
      <t>3</t>
    </r>
    <r>
      <rPr>
        <sz val="9"/>
        <rFont val="Calibri"/>
        <family val="2"/>
        <charset val="238"/>
        <scheme val="minor"/>
      </rPr>
      <t>, včetně naložení, odvozu a zákonné likvidace</t>
    </r>
  </si>
  <si>
    <t>Odtěžení nestabilních hornin ze skalních stěn horolezeckou technikou s použitím pneumatického nářadí, včetně naložení, odvozu a zákonné likvidace</t>
  </si>
  <si>
    <t>Odtěžení nestabilních hornin ze skalních stěn horolezeckou technikou hydraulickými klíny, včetně naložení, odvozu a zákonné likvidace</t>
  </si>
  <si>
    <t>Odtěžení suťového pole ručně v jakékoliv hornině, včetně naložení, odvozu a zákonné likvidace</t>
  </si>
  <si>
    <t>Odkopávky a prokopávky ručně zapažené i nezapažené v hornině třídy těžitelnosti I, skupiny 3, včetně naložení, odvozu a zákonné likvidace</t>
  </si>
  <si>
    <t>R-131213702</t>
  </si>
  <si>
    <t>Hloubení nezapažených jam ručně s urovnáním dna do předepsaného profilu a spádu v hornině třídy těžitelnosti I skupiny 3 nesoudržných, včetně naložení, odvozu a zákonné likvidace</t>
  </si>
  <si>
    <t>Odtěžení geotechnikem určených, nestabilních bloků bude provedeno horolezeckým způsobem s použitím ručního a pneumatického nářadí. Veškeré odtěžené hmoty budou charakteru kamenité suti, která bude zhotovitelem stavby po odkoupení naložena, odvezena a zákonně zlikvidována. Nakládání s odpady je podrobně zpracováno v části B Souhrnná technická zpráva.</t>
  </si>
  <si>
    <t>Odtěžení geotechnikem určených, skalních bloků u paty svahu bude provedeno z úrovně terénu s použitím hydraulických klínů. Veškeré odtěžené hmoty budou charakteru kamenité suti, která bude zhotovitelem stavby po odkoupení naložena, odvezena a zákonně zlikvidována. Nakládání s odpady je podrobně zpracováno v části B Souhrnná technická zpráva.</t>
  </si>
  <si>
    <r>
      <rPr>
        <b/>
        <i/>
        <sz val="10"/>
        <rFont val="Calibri"/>
        <family val="2"/>
        <charset val="238"/>
      </rPr>
      <t>Počet stránek:</t>
    </r>
    <r>
      <rPr>
        <sz val="10"/>
        <rFont val="Calibri"/>
        <family val="2"/>
        <charset val="238"/>
      </rPr>
      <t xml:space="preserve"> 17</t>
    </r>
  </si>
  <si>
    <t>Sloupy DB budou z pZn trubek pr. 114,3/5 mm z oceli S235JRH. Pro hlavní nosná (horní a spodní) lana bude použito ocel. pZn lano pr. 18 mm, pro zadní a postranní brzdná, postranní spojovací a mezilehlá lana bude použito ocel. pZn lano pr. 16 mm. Vlastní výplň bariéry bude tvořit hlavní záchytný panel z kruhového pletiva s rozměrem ok max. 350 mm s jednotlivým ocel. pZn drátem min. pr. 3,0 mm a doplňkové ocel. dvouzákrutové pZn pletivo 80 x 100 mm z drátu min. pr. 2,2 mm.</t>
  </si>
  <si>
    <t>Podezdívky budou realizovány z místního, vytěženého kamene, opracovaného do formátu cca 0,2 x 0,3 x 0,3 m. Vlastní zdění bude prováděno na maltu M25 XF3 s přísadou zvyšující přilnavost směsi k materiálu kamene.Ve vyzdívkách budou vytvořeny drenážní prostupy zvětšením rozestupu mezi jednotlivými bloky kamene.</t>
  </si>
  <si>
    <r>
      <t>Pol. R-155215121-1 * 1,2 ztratné na překryvy, prořezy a zpětné ohnutí; zaokr. na celý m</t>
    </r>
    <r>
      <rPr>
        <i/>
        <vertAlign val="superscript"/>
        <sz val="9"/>
        <rFont val="Calibri"/>
        <family val="2"/>
        <charset val="238"/>
        <scheme val="minor"/>
      </rPr>
      <t>2</t>
    </r>
  </si>
  <si>
    <t>R-155215121-3</t>
  </si>
  <si>
    <t>Síť na skálu s oky 60 x 80 mm povrch galfan D 2,2 mm</t>
  </si>
  <si>
    <t>Síť na skálu s oky 80 x 100 mm pozinkovaný drát D 2,7 mm, včetně montáže</t>
  </si>
  <si>
    <t>R-966071121</t>
  </si>
  <si>
    <t>Demontáž ocelových konstrukcí profilů hmotnosti přes 13 do 30 kg/m, hmotnosti konstrukce do 5 t, včetně naložení, odvozu a zákonné likvidace</t>
  </si>
  <si>
    <r>
      <t>(Počet demontovaných sloupů 41 ks * dl. sloupu 1,9 m * hmot. mb sloupu 0,0195 t) + (součtová dl. demontované části oplocení 117 m * výška pletiva 1,8 * hmot. m</t>
    </r>
    <r>
      <rPr>
        <i/>
        <vertAlign val="superscript"/>
        <sz val="9"/>
        <rFont val="Calibri"/>
        <family val="2"/>
        <charset val="238"/>
        <scheme val="minor"/>
      </rPr>
      <t>2</t>
    </r>
    <r>
      <rPr>
        <i/>
        <sz val="9"/>
        <rFont val="Calibri"/>
        <family val="2"/>
        <charset val="238"/>
        <scheme val="minor"/>
      </rPr>
      <t xml:space="preserve"> sítě 0,00118 t) + (součtová pl. z půdorysu 112 m² * koef. sklonu 2,37 * koef. členitosti 1,3 * hmot. m</t>
    </r>
    <r>
      <rPr>
        <i/>
        <vertAlign val="superscript"/>
        <sz val="9"/>
        <rFont val="Calibri"/>
        <family val="2"/>
        <charset val="238"/>
        <scheme val="minor"/>
      </rPr>
      <t>2</t>
    </r>
    <r>
      <rPr>
        <i/>
        <sz val="9"/>
        <rFont val="Calibri"/>
        <family val="2"/>
        <charset val="238"/>
        <scheme val="minor"/>
      </rPr>
      <t xml:space="preserve"> sítě 0,00118 t); zaokr. na 0,01 t</t>
    </r>
  </si>
  <si>
    <t>V rámci odstranění vzrostlé vegetace bude pomocí horolezecké techniky odstraněno i několik vzrostlých stromů. Během realizace bude dřevní hmota na místě zpracována štěpkováním a rozřezáním na manipulační díly. Kusové dřevo bude deponováno na pozemku stavebníka, kterému bude následně také předáno. Nakládání s odpady je podrobně zpracováno v části B Souhrnná technická zpráva.</t>
  </si>
  <si>
    <t>V projektem vymezených rozsazích budou pomocí horolezecké techniky odstraněny křoviny a nálet s odstraněním kořenového systému. Ten bude ponechán pouze v místech, kde by mělo odstranění negativní vliv na celistvost horniny skalního masivu. Mimo strmých skalních stěn je skalní svah v současné době lokálně porostlý křovinami a náletem.</t>
  </si>
  <si>
    <r>
      <rPr>
        <i/>
        <u/>
        <sz val="9"/>
        <rFont val="Calibri"/>
        <family val="2"/>
        <charset val="238"/>
        <scheme val="minor"/>
      </rPr>
      <t>Stávající ochranné ploty na začátku úseku</t>
    </r>
    <r>
      <rPr>
        <i/>
        <sz val="9"/>
        <rFont val="Calibri"/>
        <family val="2"/>
        <charset val="238"/>
        <scheme val="minor"/>
      </rPr>
      <t xml:space="preserve"> budou v průběhu stavby ponechány jako dočasné, záchytné konstrukce, za účelem zachytávání případných úlomků skalní horniny v průběhu provádění sanačních prací. V určité fázi stavby budou pak demontovány, viz návrh harmonogramu stavebních prací, který je přílohou části D.1.2.1 Technická zpráva. </t>
    </r>
    <r>
      <rPr>
        <i/>
        <u/>
        <sz val="9"/>
        <rFont val="Calibri"/>
        <family val="2"/>
        <charset val="238"/>
        <scheme val="minor"/>
      </rPr>
      <t>Stávající ocelová síť na začátku úseku</t>
    </r>
    <r>
      <rPr>
        <i/>
        <sz val="9"/>
        <rFont val="Calibri"/>
        <family val="2"/>
        <charset val="238"/>
        <scheme val="minor"/>
      </rPr>
      <t>, instalovaná v rámci předchozí sanace 2015, bude demontována a využita pro realizaci dočasných záchytných konstrukcí. Demontované ploty a sítě budou zhotovitelem stavby po odkoupení naloženy, odvezeny a zákonně zlikvidovány. Nakládání s odpady je podrobně zpracováno v části B Souhrnná technická zpráva.</t>
    </r>
  </si>
  <si>
    <t>Pro doplnění hlavního záchytního panelu DB2 z kruhového pletiva bude použita dvouzákrutová, ocelová pZn síť s oky 80 x 100 mm. Tahová pevnost sítě min. 50 kN/m, tahová pevnost pásu sítě min. 150 kN. Drát pletiva min. pr. 2,7 mm, tahová pevnost 350 - 550 Mpa.</t>
  </si>
  <si>
    <t>Sloupy DB budou z pZn profilu 180 x 180 mm, tloušťky stěny 5 mm z oceli S355JR. Pro hlavní nosná (horní a spodní) a zadní lana bude použito ocel. pZn lano pr. 18 mm. Pro postranní, spojovací a mezilehlá lana bude použito ocel. pZn lano pr. 16 mm. Vlastní výplň bariéry bude tvořit hlavní záchytný panel z kruhového pletiva s rozměrem ok max. 350 mm s jednotlivým ocel. pZn drátem min. pr. 3,0 mm a doplňkové ocel. dvouzákrutové pZn pletivo 80 x 100 mm z drátu min. pr. 2,7 mm.</t>
  </si>
  <si>
    <r>
      <t>((Pol. 155213611; č. 79 * dl. kotev. prvku 1,5 m + pol. 155213611; č. 37 * dl. kotev. prvku 2,0 m + (pol. 155213612 + 155213511) * dl. kotev. prvku 3,0 m + pol. 155213614 * dl. kotev. prvku 5,0 m) * hmot. mb tyče 0,0036 t) + ((pol. 153812121 * dl. kotev. prvku 0,6 m + (pol. 155213312 + 155213112) * dl. kotev. prvku 3,0 m) * hmot. mb tyče 0,00385 t) + (pol. 155213113 * dl. kotev. prvku 3,0 m * hmot. mb tyče 0,00483 t) + ((pol. 155213113 + 155213313) * dl. kotev. prvku 3,0 m) * hmot. mb tyče 0,00631 t) + (pol. R-155213611 * hmot. ocel. oka 0,0005 t) + (pol. 919726121 + R-919726121) * hmot. m</t>
    </r>
    <r>
      <rPr>
        <i/>
        <vertAlign val="superscript"/>
        <sz val="9"/>
        <rFont val="Calibri"/>
        <family val="2"/>
        <charset val="238"/>
        <scheme val="minor"/>
      </rPr>
      <t>2</t>
    </r>
    <r>
      <rPr>
        <i/>
        <sz val="9"/>
        <rFont val="Calibri"/>
        <family val="2"/>
        <charset val="238"/>
        <scheme val="minor"/>
      </rPr>
      <t xml:space="preserve"> geotextílie a PA sítě 0,0004 t) + (agreg. pol. č. 1 * hmot. m</t>
    </r>
    <r>
      <rPr>
        <i/>
        <vertAlign val="superscript"/>
        <sz val="9"/>
        <rFont val="Calibri"/>
        <family val="2"/>
        <charset val="238"/>
        <scheme val="minor"/>
      </rPr>
      <t>2</t>
    </r>
    <r>
      <rPr>
        <i/>
        <sz val="9"/>
        <rFont val="Calibri"/>
        <family val="2"/>
        <charset val="238"/>
        <scheme val="minor"/>
      </rPr>
      <t xml:space="preserve"> gum. plátu 0,012 t) + (pol. R-619996137 * hmot. m</t>
    </r>
    <r>
      <rPr>
        <i/>
        <vertAlign val="superscript"/>
        <sz val="9"/>
        <rFont val="Calibri"/>
        <family val="2"/>
        <charset val="238"/>
        <scheme val="minor"/>
      </rPr>
      <t>2</t>
    </r>
    <r>
      <rPr>
        <i/>
        <sz val="9"/>
        <rFont val="Calibri"/>
        <family val="2"/>
        <charset val="238"/>
        <scheme val="minor"/>
      </rPr>
      <t xml:space="preserve"> dřev. obednění s pneumatikami 0,05 t) + (pol. 184818242 * hmot. m</t>
    </r>
    <r>
      <rPr>
        <i/>
        <vertAlign val="superscript"/>
        <sz val="9"/>
        <rFont val="Calibri"/>
        <family val="2"/>
        <charset val="238"/>
        <scheme val="minor"/>
      </rPr>
      <t>2</t>
    </r>
    <r>
      <rPr>
        <i/>
        <sz val="9"/>
        <rFont val="Calibri"/>
        <family val="2"/>
        <charset val="238"/>
        <scheme val="minor"/>
      </rPr>
      <t xml:space="preserve"> dřev. obednění stromů 0,03 t) + ((pol. 275354111 + 275354211) * hmot. m</t>
    </r>
    <r>
      <rPr>
        <i/>
        <vertAlign val="superscript"/>
        <sz val="9"/>
        <rFont val="Calibri"/>
        <family val="2"/>
        <charset val="238"/>
        <scheme val="minor"/>
      </rPr>
      <t>2</t>
    </r>
    <r>
      <rPr>
        <i/>
        <sz val="9"/>
        <rFont val="Calibri"/>
        <family val="2"/>
        <charset val="238"/>
        <scheme val="minor"/>
      </rPr>
      <t xml:space="preserve"> dřev. bednění 0,0013 t) + (pol. 69321111 * hmot. m</t>
    </r>
    <r>
      <rPr>
        <i/>
        <vertAlign val="superscript"/>
        <sz val="9"/>
        <rFont val="Calibri"/>
        <family val="2"/>
        <charset val="238"/>
        <scheme val="minor"/>
      </rPr>
      <t>2</t>
    </r>
    <r>
      <rPr>
        <i/>
        <sz val="9"/>
        <rFont val="Calibri"/>
        <family val="2"/>
        <charset val="238"/>
        <scheme val="minor"/>
      </rPr>
      <t xml:space="preserve"> protierozní rohože 0,0006 t) + (pol. 31319110 * hmot. m</t>
    </r>
    <r>
      <rPr>
        <i/>
        <vertAlign val="superscript"/>
        <sz val="9"/>
        <rFont val="Calibri"/>
        <family val="2"/>
        <charset val="238"/>
        <scheme val="minor"/>
      </rPr>
      <t>2</t>
    </r>
    <r>
      <rPr>
        <i/>
        <sz val="9"/>
        <rFont val="Calibri"/>
        <family val="2"/>
        <charset val="238"/>
        <scheme val="minor"/>
      </rPr>
      <t xml:space="preserve"> sítě 0,00118 t) + (pol. R-155215121-2 * hmot. m</t>
    </r>
    <r>
      <rPr>
        <i/>
        <vertAlign val="superscript"/>
        <sz val="9"/>
        <rFont val="Calibri"/>
        <family val="2"/>
        <charset val="238"/>
        <scheme val="minor"/>
      </rPr>
      <t>2</t>
    </r>
    <r>
      <rPr>
        <i/>
        <sz val="9"/>
        <rFont val="Calibri"/>
        <family val="2"/>
        <charset val="238"/>
        <scheme val="minor"/>
      </rPr>
      <t xml:space="preserve"> sítě 0,00155 t) + (pol. 31319104 * hmot. m</t>
    </r>
    <r>
      <rPr>
        <i/>
        <vertAlign val="superscript"/>
        <sz val="9"/>
        <rFont val="Calibri"/>
        <family val="2"/>
        <charset val="238"/>
        <scheme val="minor"/>
      </rPr>
      <t>2</t>
    </r>
    <r>
      <rPr>
        <i/>
        <sz val="9"/>
        <rFont val="Calibri"/>
        <family val="2"/>
        <charset val="238"/>
        <scheme val="minor"/>
      </rPr>
      <t xml:space="preserve"> sítě 0,00208 t) + (pol. 31319090 * hmot. m</t>
    </r>
    <r>
      <rPr>
        <i/>
        <vertAlign val="superscript"/>
        <sz val="9"/>
        <rFont val="Calibri"/>
        <family val="2"/>
        <charset val="238"/>
        <scheme val="minor"/>
      </rPr>
      <t>2</t>
    </r>
    <r>
      <rPr>
        <i/>
        <sz val="9"/>
        <rFont val="Calibri"/>
        <family val="2"/>
        <charset val="238"/>
        <scheme val="minor"/>
      </rPr>
      <t xml:space="preserve"> sítě 0,00117 t) + (pol. 31452106 * hmot. mb lana 0,00021 t) + (pol. 31452107 * hmot. mb lana 0,00032 t) + (pol. R-155214212 * hmot. mb lana 0,00103 t) + (pol. 155214411 * dl. sloupu 3,0 m * hmot. mb sloupu 0,0195 t) + (pol. R-155215111-1 * hmot. m</t>
    </r>
    <r>
      <rPr>
        <i/>
        <vertAlign val="superscript"/>
        <sz val="9"/>
        <rFont val="Calibri"/>
        <family val="2"/>
        <charset val="238"/>
        <scheme val="minor"/>
      </rPr>
      <t>2</t>
    </r>
    <r>
      <rPr>
        <i/>
        <sz val="9"/>
        <rFont val="Calibri"/>
        <family val="2"/>
        <charset val="238"/>
        <scheme val="minor"/>
      </rPr>
      <t xml:space="preserve"> DB I. skupiny 0,02503 t) + (pol. R-155215121-1 * hmot. m</t>
    </r>
    <r>
      <rPr>
        <i/>
        <vertAlign val="superscript"/>
        <sz val="9"/>
        <rFont val="Calibri"/>
        <family val="2"/>
        <charset val="238"/>
        <scheme val="minor"/>
      </rPr>
      <t>2</t>
    </r>
    <r>
      <rPr>
        <i/>
        <sz val="9"/>
        <rFont val="Calibri"/>
        <family val="2"/>
        <charset val="238"/>
        <scheme val="minor"/>
      </rPr>
      <t xml:space="preserve"> DB II. skupiny 0,04505 t) + ((pol. 275311127 + injektážní hmoty 40,8 m</t>
    </r>
    <r>
      <rPr>
        <i/>
        <vertAlign val="superscript"/>
        <sz val="9"/>
        <rFont val="Calibri"/>
        <family val="2"/>
        <charset val="238"/>
        <scheme val="minor"/>
      </rPr>
      <t>3</t>
    </r>
    <r>
      <rPr>
        <i/>
        <sz val="9"/>
        <rFont val="Calibri"/>
        <family val="2"/>
        <charset val="238"/>
        <scheme val="minor"/>
      </rPr>
      <t>) * prům. obj. hmot. betonu 2,3 t/m³); zaokr. na 0,01 t</t>
    </r>
  </si>
  <si>
    <t>KRYCÍ LIST SOUPISU PRACÍ S VÝKAZEM VÝMĚR</t>
  </si>
  <si>
    <r>
      <t>((Pl. 1 mb tyče 0,102139 m² * koef. zohledňující závit 1,3 * dl. nátěru kotev. prvku 0,4 m * (pol. 155213612 + 155213614)) + (pl. podložky 0,0498 m</t>
    </r>
    <r>
      <rPr>
        <i/>
        <vertAlign val="superscript"/>
        <sz val="9"/>
        <rFont val="Calibri"/>
        <family val="2"/>
        <charset val="238"/>
        <scheme val="minor"/>
      </rPr>
      <t>2</t>
    </r>
    <r>
      <rPr>
        <i/>
        <sz val="9"/>
        <rFont val="Calibri"/>
        <family val="2"/>
        <charset val="238"/>
        <scheme val="minor"/>
      </rPr>
      <t xml:space="preserve"> * (pol. 155213612 + 155213614))) * počet vrstev 2 ks * 1,2 ztratné; zaokr. na celý m</t>
    </r>
    <r>
      <rPr>
        <i/>
        <vertAlign val="superscript"/>
        <sz val="9"/>
        <rFont val="Calibri"/>
        <family val="2"/>
        <charset val="238"/>
        <scheme val="minor"/>
      </rPr>
      <t>2</t>
    </r>
  </si>
  <si>
    <r>
      <t>((Pl. 1 mb tyče 0,102139 m² * koef. zohledňující závit 1,3 * (dl. nátěru kotev. prvku 3,0 m * pol. 155213612 + dl. nátěru kotev. prvku 5,0 m * pol. 155213614)) + (pl. podložky 0,0498 m</t>
    </r>
    <r>
      <rPr>
        <i/>
        <vertAlign val="superscript"/>
        <sz val="9"/>
        <rFont val="Calibri"/>
        <family val="2"/>
        <charset val="238"/>
        <scheme val="minor"/>
      </rPr>
      <t>2</t>
    </r>
    <r>
      <rPr>
        <i/>
        <sz val="9"/>
        <rFont val="Calibri"/>
        <family val="2"/>
        <charset val="238"/>
        <scheme val="minor"/>
      </rPr>
      <t xml:space="preserve"> * (pol. 155213612 + 155213614))) * 1,2 ztratné; zaokr. na celý m</t>
    </r>
    <r>
      <rPr>
        <i/>
        <vertAlign val="superscript"/>
        <sz val="9"/>
        <rFont val="Calibri"/>
        <family val="2"/>
        <charset val="238"/>
        <scheme val="minor"/>
      </rPr>
      <t>2</t>
    </r>
  </si>
  <si>
    <t>Silniční svodidlo betonové jednostranné průběžné délky 4 m, výšky 0,8 m - doprava, manipulace jeřábem, montáž</t>
  </si>
  <si>
    <t>Pro periodické měření potenciálního pohybu bloků skalního masivu projekt předpokládá realizaci 2 stanovišť</t>
  </si>
  <si>
    <t>Mechanické odstranění pařezů, které by znemožňovaly instalaci technických sanačních prvků. Ponechány budou pouze v místech, kde by mělo odstranění negativní vliv na celistvost horniny skalního masivu. Pařezy budou zhotovitelem stavby naloženy, odvezeny a zákonně zlikvidovány. Nakládání s odpady je podrobně zpracováno v samostatné části B Souhrnná technická zpráva.</t>
  </si>
  <si>
    <t>Během realizace budou keře a nálet na místě zpracovány štěpkováním. Dřevní štěpka bude zhotovitelem stavby naložena, odvezena a zákonně zlikvidována. Nakládání s odpady je podrobně zpracováno v části B Souhrnná technická zpráva.</t>
  </si>
  <si>
    <t>Odstranění svahových pokryvů a povrchově narušených částí čištěných skalních ploch bude realizováno horolezeckým způsobem, pomocí ručního nářadí, případně také pomocí pneumatického ručního nářadí. Veškeré odtěžené hmoty budou charakteru kamenité suti, která bude zhotovitelem stavby naložena, odvezena a zákonně zlikvidována. Nakládání s odpady je podrobně zpracováno v části B Souhrnná technická zpráva.</t>
  </si>
  <si>
    <t>Odtěžení akumulačního prostoru pod skalním svahem. Odtěžení bude provedeno ruční odkopávkou za přítomnosti geotechnika stavby. Veškeré odtěžené hmoty budou charakteru kamenité suti, která bude zhotovitelem stavby naložena, odvezena a zákonně zlikvidována. Nakládání s odpady je podrobně zpracováno v části B Souhrnná technická zpráva.</t>
  </si>
  <si>
    <t>Odtěžení akumulačního prostoru pod skalním svahem. Odtěžení bude provedeno strojní odkopávkou za přítomnosti geotechnika stavby. Veškeré odtěžené hmoty budou charakteru zemitě-kamenité suti, která bude zhotovitelem stavby naložena, odvezena a zákonně zlikvidována. Nakládání s odpady je podrobně zpracováno v části B Souhrnná technická zpráva.</t>
  </si>
  <si>
    <t>Odtěžení akumulačního prostoru pod skalním svahem. Odtěžení bude provedeno ruční odkopávkou za přítomnosti geotechnika stavby. Veškeré odtěžené hmoty budou charakteru zemitě-kamenité suti, která bude zhotovitelem stavby naložena, odvezena a zákonně zlikvidována. Nakládání s odpady je podrobně zpracováno v části B Souhrnná technická zpráva.</t>
  </si>
  <si>
    <t>Výkop rozměru cca 0,5 x 0,8 m příslušné délky pro případné provedení betonového základu, kdy by založení bylo nevyhovující. Způsob založení určí geotechnik stavby na místě. Veškeré odtěžené hmoty budou charakteru zemitě-kamenité suti, která bude zhotovitelem stavby naložena, odvezena a zákonně zlikvidována. Nakládání s odpady je podrobně zpracováno v části B Souhrnná technická zpráva.</t>
  </si>
  <si>
    <t>V projektem stanovených místech bude provedeno odtěžení částí skalního masivu, které by kolidovaly s konstrukcí navržených bariér. Odtěžení bude provedeno s použitím ručního a pneumatického nářadí. Veškeré odtěžené hmoty budou charakteru kamenité suti, která bude zhotovitelem stavby naložena, odvezena a zákonně zlikvidována. Nakládání s odpady je podrobně zpracováno v části B Souhrnná technická zpráva.</t>
  </si>
  <si>
    <t>Sloupy dynamických bariér budou osazeny do vrtu v kombinaci s betonovou základovou patkou. Jedná se o místa realizace sloupů v zemním svahu, mělkém kvartérním krytu anebo v místech, kde se předpokládá rychlé zvětrání skalního svahu. Veškeré odtěžené hmoty budou charakteru zemitě-kamenité suti, která bude zhotovitelem stavby naložena, odvezena a zákonně zlikvidována. Nakládání s odpady je podrobně zpracováno v části B Souhrnná technická zpráva.</t>
  </si>
  <si>
    <t>Ve výjimečných případech budou sloupy osazeny do základových patek nebo kombinace vrtu a patky. Jedná se o místa realizace sloupů v zemním svahu, mělkém kvartérním krytu anebo v místech, kde se předpokládá rychlé zvětrání skalního svahu. Veškeré odtěžené hmoty budou charakteru zemitě-kamenité suti, která bude zhotovitelem stavby naložena, odvezena a zákonně zlikvidována. Nakládání s odpady je podrobně zpracováno v části B Souhrnná technická zpráva.</t>
  </si>
  <si>
    <t>Odborný odhad na základě návštěvy lokality: 11 ks</t>
  </si>
  <si>
    <t>030001001</t>
  </si>
  <si>
    <t>Aktualizace Havarijního a Provozního řádu</t>
  </si>
  <si>
    <t>Havarijní a provozní řád bude zhotoviteli dodán do předání staveniště</t>
  </si>
  <si>
    <t>Štěpkování s naložením na dopravní prostředek a odvozem keřového porostu hustého, včetně naložení, odvozu a zákonné likvidace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</si>
</sst>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_-#,##0.00&quot; Kč&quot;;* \-#,##0.00&quot; Kč&quot;;* _-\-??&quot; Kč&quot;;@"/>
    <numFmt numFmtId="165" formatCode="#,##0&quot; Kč&quot;"/>
    <numFmt numFmtId="166" formatCode="#"/>
    <numFmt numFmtId="167" formatCode="_-* #,##0\ [$Kč-405]_-;\-* #,##0\ [$Kč-405]_-;_-* \-??\ [$Kč-405]_-;_-@_-"/>
    <numFmt numFmtId="168" formatCode="_-* #,##0.0&quot; Kč&quot;_-;\-* #,##0.0&quot; Kč&quot;_-;_-* &quot;- Kč&quot;_-;_-@_-"/>
    <numFmt numFmtId="169" formatCode="#,##0\ &quot;Kč&quot;"/>
    <numFmt numFmtId="170" formatCode="#,##0.0"/>
    <numFmt numFmtId="171" formatCode="0.0"/>
    <numFmt numFmtId="172" formatCode="#,##0.000000"/>
    <numFmt numFmtId="173" formatCode="_-* #,##0.00&quot; Kč&quot;_-;\-* #,##0.00&quot; Kč&quot;_-;_-* &quot;- Kč&quot;_-;_-@_-"/>
  </numFmts>
  <fonts count="30" x14ac:knownFonts="1">
    <font>
      <sz val="10"/>
      <name val="Arial"/>
      <family val="2"/>
      <charset val="238"/>
    </font>
    <font>
      <sz val="8"/>
      <name val="Arial"/>
      <family val="2"/>
      <charset val="238"/>
    </font>
    <font>
      <sz val="12"/>
      <name val="Arial"/>
      <family val="2"/>
      <charset val="238"/>
    </font>
    <font>
      <sz val="10"/>
      <name val="Arial"/>
      <family val="2"/>
      <charset val="238"/>
    </font>
    <font>
      <sz val="8"/>
      <name val="Calibri"/>
      <family val="2"/>
      <charset val="238"/>
    </font>
    <font>
      <b/>
      <sz val="8"/>
      <name val="Calibri"/>
      <family val="2"/>
      <charset val="238"/>
    </font>
    <font>
      <sz val="9"/>
      <name val="Calibri"/>
      <family val="2"/>
      <charset val="238"/>
    </font>
    <font>
      <b/>
      <sz val="9"/>
      <name val="Calibri"/>
      <family val="2"/>
      <charset val="238"/>
    </font>
    <font>
      <b/>
      <i/>
      <sz val="9"/>
      <name val="Calibri"/>
      <family val="2"/>
      <charset val="238"/>
    </font>
    <font>
      <b/>
      <i/>
      <sz val="8"/>
      <name val="Calibri"/>
      <family val="2"/>
      <charset val="238"/>
    </font>
    <font>
      <i/>
      <sz val="8"/>
      <name val="Calibri"/>
      <family val="2"/>
      <charset val="238"/>
    </font>
    <font>
      <i/>
      <sz val="10"/>
      <name val="Calibri"/>
      <family val="2"/>
      <charset val="238"/>
    </font>
    <font>
      <b/>
      <i/>
      <sz val="10"/>
      <name val="Calibri"/>
      <family val="2"/>
      <charset val="238"/>
    </font>
    <font>
      <b/>
      <sz val="10"/>
      <name val="Arial"/>
      <family val="2"/>
      <charset val="238"/>
    </font>
    <font>
      <sz val="9"/>
      <name val="Calibri"/>
      <family val="2"/>
      <charset val="238"/>
      <scheme val="minor"/>
    </font>
    <font>
      <b/>
      <sz val="20"/>
      <color theme="0"/>
      <name val="Calibri"/>
      <family val="2"/>
      <charset val="238"/>
    </font>
    <font>
      <sz val="10"/>
      <name val="Calibri"/>
      <family val="2"/>
      <charset val="238"/>
    </font>
    <font>
      <b/>
      <sz val="10"/>
      <name val="Calibri"/>
      <family val="2"/>
      <charset val="238"/>
    </font>
    <font>
      <b/>
      <sz val="10"/>
      <name val="Calibri"/>
      <family val="2"/>
      <charset val="238"/>
      <scheme val="minor"/>
    </font>
    <font>
      <vertAlign val="superscript"/>
      <sz val="9"/>
      <name val="Calibri"/>
      <family val="2"/>
      <charset val="238"/>
      <scheme val="minor"/>
    </font>
    <font>
      <sz val="10"/>
      <name val="Calibri"/>
      <family val="2"/>
      <charset val="238"/>
      <scheme val="minor"/>
    </font>
    <font>
      <b/>
      <i/>
      <sz val="10"/>
      <name val="Calibri"/>
      <family val="2"/>
      <charset val="238"/>
      <scheme val="minor"/>
    </font>
    <font>
      <b/>
      <sz val="9"/>
      <color theme="0"/>
      <name val="Calibri"/>
      <family val="2"/>
      <charset val="238"/>
      <scheme val="minor"/>
    </font>
    <font>
      <b/>
      <sz val="14"/>
      <color theme="0"/>
      <name val="Calibri"/>
      <family val="2"/>
      <charset val="238"/>
      <scheme val="minor"/>
    </font>
    <font>
      <b/>
      <sz val="14"/>
      <color theme="0"/>
      <name val="Calibri"/>
      <family val="2"/>
      <charset val="238"/>
    </font>
    <font>
      <i/>
      <sz val="9"/>
      <name val="Calibri"/>
      <family val="2"/>
      <charset val="238"/>
      <scheme val="minor"/>
    </font>
    <font>
      <i/>
      <vertAlign val="superscript"/>
      <sz val="9"/>
      <name val="Calibri"/>
      <family val="2"/>
      <charset val="238"/>
      <scheme val="minor"/>
    </font>
    <font>
      <i/>
      <sz val="8"/>
      <name val="Arial"/>
      <family val="2"/>
      <charset val="238"/>
    </font>
    <font>
      <i/>
      <vertAlign val="superscript"/>
      <sz val="8"/>
      <name val="Arial"/>
      <family val="2"/>
      <charset val="238"/>
    </font>
    <font>
      <i/>
      <u/>
      <sz val="9"/>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rgb="FF00B050"/>
        <bgColor indexed="64"/>
      </patternFill>
    </fill>
    <fill>
      <patternFill patternType="solid">
        <fgColor theme="0"/>
        <bgColor indexed="26"/>
      </patternFill>
    </fill>
    <fill>
      <patternFill patternType="solid">
        <fgColor rgb="FFFFFF00"/>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6">
    <xf numFmtId="0" fontId="0" fillId="0" borderId="0"/>
    <xf numFmtId="164" fontId="3" fillId="0" borderId="0"/>
    <xf numFmtId="0" fontId="3" fillId="0" borderId="0"/>
    <xf numFmtId="0" fontId="3" fillId="0" borderId="0"/>
    <xf numFmtId="0" fontId="3" fillId="0" borderId="0"/>
    <xf numFmtId="0" fontId="3" fillId="0" borderId="0">
      <alignment vertical="center"/>
    </xf>
  </cellStyleXfs>
  <cellXfs count="153">
    <xf numFmtId="0" fontId="0" fillId="0" borderId="0" xfId="0"/>
    <xf numFmtId="0" fontId="1" fillId="0" borderId="0" xfId="2" applyFont="1"/>
    <xf numFmtId="0" fontId="2" fillId="0" borderId="0" xfId="2" applyFont="1"/>
    <xf numFmtId="0" fontId="3" fillId="0" borderId="0" xfId="2"/>
    <xf numFmtId="0" fontId="4" fillId="0" borderId="0" xfId="2" applyFont="1"/>
    <xf numFmtId="0" fontId="6" fillId="0" borderId="0" xfId="2" applyFont="1" applyAlignment="1">
      <alignment vertical="center"/>
    </xf>
    <xf numFmtId="0" fontId="5" fillId="0" borderId="0" xfId="2" applyFont="1" applyAlignment="1">
      <alignment vertical="center"/>
    </xf>
    <xf numFmtId="0" fontId="7" fillId="0" borderId="0" xfId="2" applyFont="1" applyAlignment="1">
      <alignment vertical="center"/>
    </xf>
    <xf numFmtId="0" fontId="9" fillId="0" borderId="0" xfId="2" applyFont="1" applyAlignment="1">
      <alignment horizontal="center" vertical="center"/>
    </xf>
    <xf numFmtId="0" fontId="8" fillId="0" borderId="0" xfId="2" applyFont="1" applyAlignment="1">
      <alignment horizontal="center" vertical="center"/>
    </xf>
    <xf numFmtId="0" fontId="5" fillId="0" borderId="0" xfId="2" applyFont="1"/>
    <xf numFmtId="0" fontId="13" fillId="0" borderId="0" xfId="2" applyFont="1"/>
    <xf numFmtId="0" fontId="12" fillId="2" borderId="1" xfId="2" applyFont="1" applyFill="1" applyBorder="1" applyAlignment="1">
      <alignment vertical="center"/>
    </xf>
    <xf numFmtId="169" fontId="1" fillId="0" borderId="0" xfId="2" applyNumberFormat="1" applyFont="1"/>
    <xf numFmtId="0" fontId="12" fillId="2" borderId="12" xfId="2" applyFont="1" applyFill="1" applyBorder="1" applyAlignment="1">
      <alignment horizontal="right" vertical="center"/>
    </xf>
    <xf numFmtId="0" fontId="16" fillId="2" borderId="9" xfId="2" applyFont="1" applyFill="1" applyBorder="1" applyAlignment="1">
      <alignment vertical="center"/>
    </xf>
    <xf numFmtId="0" fontId="16" fillId="2" borderId="6" xfId="2" applyFont="1" applyFill="1" applyBorder="1" applyAlignment="1">
      <alignment vertical="center"/>
    </xf>
    <xf numFmtId="0" fontId="16" fillId="2" borderId="7" xfId="2" applyFont="1" applyFill="1" applyBorder="1" applyAlignment="1">
      <alignment vertical="center"/>
    </xf>
    <xf numFmtId="0" fontId="16" fillId="2" borderId="8" xfId="2" applyFont="1" applyFill="1" applyBorder="1" applyAlignment="1">
      <alignment vertical="center"/>
    </xf>
    <xf numFmtId="0" fontId="16" fillId="2" borderId="12" xfId="2" applyFont="1" applyFill="1" applyBorder="1" applyAlignment="1">
      <alignment horizontal="left" vertical="center" wrapText="1"/>
    </xf>
    <xf numFmtId="169" fontId="16" fillId="2" borderId="9" xfId="2" applyNumberFormat="1" applyFont="1" applyFill="1" applyBorder="1" applyAlignment="1">
      <alignment vertical="center"/>
    </xf>
    <xf numFmtId="0" fontId="16" fillId="2" borderId="12" xfId="2" applyFont="1" applyFill="1" applyBorder="1" applyAlignment="1">
      <alignment vertical="center" wrapText="1"/>
    </xf>
    <xf numFmtId="0" fontId="16" fillId="2" borderId="5" xfId="2" applyFont="1" applyFill="1" applyBorder="1" applyAlignment="1">
      <alignment vertical="center"/>
    </xf>
    <xf numFmtId="0" fontId="17" fillId="2" borderId="5" xfId="2" applyFont="1" applyFill="1" applyBorder="1" applyAlignment="1">
      <alignment vertical="center"/>
    </xf>
    <xf numFmtId="14" fontId="16" fillId="2" borderId="9" xfId="2" applyNumberFormat="1" applyFont="1" applyFill="1" applyBorder="1" applyAlignment="1">
      <alignment horizontal="left" vertical="center"/>
    </xf>
    <xf numFmtId="0" fontId="12" fillId="2" borderId="3" xfId="2" applyFont="1" applyFill="1" applyBorder="1" applyAlignment="1">
      <alignment vertical="center"/>
    </xf>
    <xf numFmtId="0" fontId="11" fillId="2" borderId="12" xfId="2" applyFont="1" applyFill="1" applyBorder="1" applyAlignment="1">
      <alignment vertical="center"/>
    </xf>
    <xf numFmtId="0" fontId="11" fillId="2" borderId="6" xfId="2" applyFont="1" applyFill="1" applyBorder="1" applyAlignment="1">
      <alignment vertical="center"/>
    </xf>
    <xf numFmtId="0" fontId="16" fillId="2" borderId="3" xfId="2" applyFont="1" applyFill="1" applyBorder="1" applyAlignment="1">
      <alignment vertical="center"/>
    </xf>
    <xf numFmtId="0" fontId="12" fillId="2" borderId="17" xfId="2" applyFont="1" applyFill="1" applyBorder="1" applyAlignment="1">
      <alignment vertical="center"/>
    </xf>
    <xf numFmtId="165" fontId="17" fillId="2" borderId="18" xfId="2" applyNumberFormat="1" applyFont="1" applyFill="1" applyBorder="1" applyAlignment="1">
      <alignment horizontal="right" vertical="center"/>
    </xf>
    <xf numFmtId="0" fontId="12" fillId="2" borderId="13" xfId="2" applyFont="1" applyFill="1" applyBorder="1" applyAlignment="1">
      <alignment vertical="center"/>
    </xf>
    <xf numFmtId="165" fontId="17" fillId="2" borderId="14" xfId="2" applyNumberFormat="1" applyFont="1" applyFill="1" applyBorder="1" applyAlignment="1">
      <alignment horizontal="right" vertical="center"/>
    </xf>
    <xf numFmtId="0" fontId="16" fillId="2" borderId="6" xfId="2" applyFont="1" applyFill="1" applyBorder="1"/>
    <xf numFmtId="0" fontId="16" fillId="2" borderId="8" xfId="2" applyFont="1" applyFill="1" applyBorder="1"/>
    <xf numFmtId="0" fontId="16" fillId="2" borderId="9" xfId="2" applyFont="1" applyFill="1" applyBorder="1"/>
    <xf numFmtId="169" fontId="16" fillId="2" borderId="0" xfId="2" applyNumberFormat="1" applyFont="1" applyFill="1" applyAlignment="1">
      <alignment vertical="center"/>
    </xf>
    <xf numFmtId="169" fontId="17" fillId="2" borderId="10" xfId="2" applyNumberFormat="1" applyFont="1" applyFill="1" applyBorder="1" applyAlignment="1">
      <alignment vertical="center"/>
    </xf>
    <xf numFmtId="0" fontId="24" fillId="5" borderId="1" xfId="2" applyFont="1" applyFill="1" applyBorder="1" applyAlignment="1">
      <alignment vertical="center"/>
    </xf>
    <xf numFmtId="0" fontId="24" fillId="5" borderId="2" xfId="2" applyFont="1" applyFill="1" applyBorder="1" applyAlignment="1">
      <alignment vertical="center"/>
    </xf>
    <xf numFmtId="0" fontId="24" fillId="5" borderId="10" xfId="2" applyFont="1" applyFill="1" applyBorder="1" applyAlignment="1">
      <alignment vertical="center"/>
    </xf>
    <xf numFmtId="165" fontId="24" fillId="5" borderId="2" xfId="2" applyNumberFormat="1" applyFont="1" applyFill="1" applyBorder="1" applyAlignment="1">
      <alignment horizontal="right" vertical="center"/>
    </xf>
    <xf numFmtId="0" fontId="15" fillId="5" borderId="1" xfId="2" applyFont="1" applyFill="1" applyBorder="1" applyAlignment="1">
      <alignment vertical="center"/>
    </xf>
    <xf numFmtId="14" fontId="16" fillId="2" borderId="0" xfId="2" applyNumberFormat="1" applyFont="1" applyFill="1" applyAlignment="1">
      <alignment horizontal="left" vertical="center"/>
    </xf>
    <xf numFmtId="0" fontId="17" fillId="2" borderId="0" xfId="2" applyFont="1" applyFill="1" applyAlignment="1">
      <alignment vertical="center"/>
    </xf>
    <xf numFmtId="0" fontId="12" fillId="2" borderId="12" xfId="2" applyFont="1" applyFill="1" applyBorder="1" applyAlignment="1">
      <alignment horizontal="right" vertical="top"/>
    </xf>
    <xf numFmtId="0" fontId="14" fillId="0" borderId="0" xfId="2" applyFont="1" applyAlignment="1">
      <alignment horizontal="center"/>
    </xf>
    <xf numFmtId="0" fontId="14" fillId="0" borderId="0" xfId="2" applyFont="1"/>
    <xf numFmtId="2" fontId="14" fillId="0" borderId="0" xfId="2" applyNumberFormat="1" applyFont="1"/>
    <xf numFmtId="0" fontId="22" fillId="5" borderId="3" xfId="2" applyFont="1" applyFill="1" applyBorder="1" applyAlignment="1">
      <alignment vertical="center"/>
    </xf>
    <xf numFmtId="0" fontId="22" fillId="5" borderId="4" xfId="2" applyFont="1" applyFill="1" applyBorder="1" applyAlignment="1">
      <alignment vertical="center"/>
    </xf>
    <xf numFmtId="0" fontId="23" fillId="5" borderId="4" xfId="2" applyFont="1" applyFill="1" applyBorder="1" applyAlignment="1">
      <alignment horizontal="left" vertical="center"/>
    </xf>
    <xf numFmtId="0" fontId="22" fillId="5" borderId="5" xfId="2" applyFont="1" applyFill="1" applyBorder="1" applyAlignment="1">
      <alignment vertical="center"/>
    </xf>
    <xf numFmtId="0" fontId="21" fillId="0" borderId="20" xfId="2" applyFont="1" applyBorder="1" applyAlignment="1">
      <alignment horizontal="center" vertical="center" wrapText="1"/>
    </xf>
    <xf numFmtId="0" fontId="21" fillId="0" borderId="21" xfId="2" applyFont="1" applyBorder="1" applyAlignment="1">
      <alignment horizontal="center" vertical="center" wrapText="1"/>
    </xf>
    <xf numFmtId="2" fontId="21" fillId="0" borderId="21" xfId="2" applyNumberFormat="1" applyFont="1" applyBorder="1" applyAlignment="1">
      <alignment horizontal="center" vertical="center" wrapText="1"/>
    </xf>
    <xf numFmtId="2" fontId="21" fillId="0" borderId="22" xfId="2" applyNumberFormat="1" applyFont="1" applyBorder="1" applyAlignment="1">
      <alignment horizontal="center" vertical="center" wrapText="1"/>
    </xf>
    <xf numFmtId="2" fontId="18" fillId="3" borderId="1" xfId="2" applyNumberFormat="1" applyFont="1" applyFill="1" applyBorder="1" applyAlignment="1">
      <alignment vertical="center" wrapText="1"/>
    </xf>
    <xf numFmtId="166" fontId="18" fillId="3" borderId="2" xfId="2" applyNumberFormat="1" applyFont="1" applyFill="1" applyBorder="1" applyAlignment="1">
      <alignment horizontal="center" vertical="center" wrapText="1"/>
    </xf>
    <xf numFmtId="166" fontId="18" fillId="4" borderId="2" xfId="2" applyNumberFormat="1" applyFont="1" applyFill="1" applyBorder="1" applyAlignment="1">
      <alignment vertical="center" wrapText="1"/>
    </xf>
    <xf numFmtId="166" fontId="18" fillId="4" borderId="2" xfId="2" applyNumberFormat="1" applyFont="1" applyFill="1" applyBorder="1" applyAlignment="1">
      <alignment horizontal="center" vertical="center" wrapText="1"/>
    </xf>
    <xf numFmtId="167" fontId="18" fillId="4" borderId="10" xfId="2" applyNumberFormat="1" applyFont="1" applyFill="1" applyBorder="1" applyAlignment="1">
      <alignment vertical="center" wrapText="1"/>
    </xf>
    <xf numFmtId="0" fontId="14" fillId="0" borderId="20" xfId="4" applyFont="1" applyBorder="1" applyAlignment="1">
      <alignment horizontal="center" vertical="center"/>
    </xf>
    <xf numFmtId="0" fontId="14" fillId="0" borderId="21" xfId="2" applyFont="1" applyBorder="1" applyAlignment="1">
      <alignment horizontal="center" vertical="center" wrapText="1"/>
    </xf>
    <xf numFmtId="0" fontId="14" fillId="0" borderId="21" xfId="2" applyFont="1" applyBorder="1" applyAlignment="1">
      <alignment horizontal="left" vertical="center" wrapText="1"/>
    </xf>
    <xf numFmtId="0" fontId="14" fillId="0" borderId="21" xfId="2" applyFont="1" applyBorder="1" applyAlignment="1">
      <alignment horizontal="center" vertical="center"/>
    </xf>
    <xf numFmtId="4" fontId="14" fillId="0" borderId="21" xfId="2" applyNumberFormat="1" applyFont="1" applyBorder="1" applyAlignment="1">
      <alignment horizontal="center" vertical="center" wrapText="1"/>
    </xf>
    <xf numFmtId="168" fontId="14" fillId="0" borderId="22" xfId="2" applyNumberFormat="1" applyFont="1" applyBorder="1" applyAlignment="1">
      <alignment vertical="center" wrapText="1"/>
    </xf>
    <xf numFmtId="0" fontId="14" fillId="0" borderId="12" xfId="4" applyFont="1" applyBorder="1" applyAlignment="1">
      <alignment horizontal="center" vertical="center"/>
    </xf>
    <xf numFmtId="0" fontId="14" fillId="0" borderId="0" xfId="2" applyFont="1" applyAlignment="1">
      <alignment horizontal="center" vertical="center"/>
    </xf>
    <xf numFmtId="0" fontId="25" fillId="0" borderId="19" xfId="2" applyFont="1" applyBorder="1" applyAlignment="1">
      <alignment vertical="center" wrapText="1"/>
    </xf>
    <xf numFmtId="4" fontId="14" fillId="0" borderId="0" xfId="2" applyNumberFormat="1" applyFont="1" applyAlignment="1">
      <alignment horizontal="center" vertical="center" wrapText="1"/>
    </xf>
    <xf numFmtId="168" fontId="14" fillId="0" borderId="0" xfId="2" applyNumberFormat="1" applyFont="1" applyAlignment="1">
      <alignment vertical="center" wrapText="1"/>
    </xf>
    <xf numFmtId="168" fontId="14" fillId="0" borderId="9" xfId="2" applyNumberFormat="1" applyFont="1" applyBorder="1" applyAlignment="1">
      <alignment vertical="center" wrapText="1"/>
    </xf>
    <xf numFmtId="0" fontId="14" fillId="0" borderId="6" xfId="4" applyFont="1" applyBorder="1" applyAlignment="1">
      <alignment horizontal="center" vertical="center"/>
    </xf>
    <xf numFmtId="0" fontId="14" fillId="0" borderId="7" xfId="2" applyFont="1" applyBorder="1" applyAlignment="1">
      <alignment horizontal="center" vertical="center"/>
    </xf>
    <xf numFmtId="0" fontId="25" fillId="0" borderId="24" xfId="2" applyFont="1" applyBorder="1" applyAlignment="1">
      <alignment vertical="center" wrapText="1"/>
    </xf>
    <xf numFmtId="4" fontId="14" fillId="0" borderId="7" xfId="2" applyNumberFormat="1" applyFont="1" applyBorder="1" applyAlignment="1">
      <alignment horizontal="center" vertical="center" wrapText="1"/>
    </xf>
    <xf numFmtId="168" fontId="14" fillId="0" borderId="7" xfId="2" applyNumberFormat="1" applyFont="1" applyBorder="1" applyAlignment="1">
      <alignment vertical="center" wrapText="1"/>
    </xf>
    <xf numFmtId="168" fontId="14" fillId="0" borderId="8" xfId="2" applyNumberFormat="1" applyFont="1" applyBorder="1" applyAlignment="1">
      <alignment vertical="center" wrapText="1"/>
    </xf>
    <xf numFmtId="0" fontId="14" fillId="0" borderId="21" xfId="2" applyFont="1" applyBorder="1" applyAlignment="1">
      <alignment vertical="top" wrapText="1"/>
    </xf>
    <xf numFmtId="0" fontId="14" fillId="0" borderId="21" xfId="2" applyFont="1" applyBorder="1" applyAlignment="1">
      <alignment vertical="center" wrapText="1"/>
    </xf>
    <xf numFmtId="0" fontId="14" fillId="2" borderId="21" xfId="2" applyFont="1" applyFill="1" applyBorder="1" applyAlignment="1">
      <alignment horizontal="left" vertical="center" wrapText="1"/>
    </xf>
    <xf numFmtId="0" fontId="14" fillId="0" borderId="21" xfId="0" applyFont="1" applyBorder="1" applyAlignment="1">
      <alignment horizontal="center" vertical="center"/>
    </xf>
    <xf numFmtId="0" fontId="14" fillId="0" borderId="21" xfId="5" applyFont="1" applyBorder="1" applyAlignment="1">
      <alignment vertical="center" wrapText="1"/>
    </xf>
    <xf numFmtId="0" fontId="6" fillId="0" borderId="25" xfId="2" applyFont="1" applyBorder="1" applyAlignment="1">
      <alignment horizontal="center" vertical="center"/>
    </xf>
    <xf numFmtId="0" fontId="6" fillId="0" borderId="21" xfId="2" applyFont="1" applyBorder="1" applyAlignment="1">
      <alignment horizontal="left" vertical="center" wrapText="1"/>
    </xf>
    <xf numFmtId="0" fontId="14" fillId="2" borderId="21" xfId="2" applyFont="1" applyFill="1" applyBorder="1" applyAlignment="1">
      <alignment horizontal="center" vertical="center"/>
    </xf>
    <xf numFmtId="0" fontId="25" fillId="0" borderId="26" xfId="2" applyFont="1" applyBorder="1" applyAlignment="1">
      <alignment vertical="center" wrapText="1"/>
    </xf>
    <xf numFmtId="0" fontId="14" fillId="0" borderId="21" xfId="4" applyFont="1" applyBorder="1" applyAlignment="1">
      <alignment horizontal="center" vertical="center" wrapText="1"/>
    </xf>
    <xf numFmtId="171" fontId="14" fillId="0" borderId="7" xfId="2" applyNumberFormat="1" applyFont="1" applyBorder="1" applyAlignment="1">
      <alignment vertical="center" wrapText="1"/>
    </xf>
    <xf numFmtId="4" fontId="14" fillId="0" borderId="21" xfId="4" applyNumberFormat="1" applyFont="1" applyBorder="1" applyAlignment="1">
      <alignment horizontal="center" vertical="center" wrapText="1"/>
    </xf>
    <xf numFmtId="171" fontId="14" fillId="0" borderId="0" xfId="2" applyNumberFormat="1" applyFont="1" applyAlignment="1">
      <alignment vertical="center" wrapText="1"/>
    </xf>
    <xf numFmtId="171" fontId="14" fillId="0" borderId="0" xfId="2" applyNumberFormat="1" applyFont="1" applyAlignment="1">
      <alignment horizontal="center" vertical="center" wrapText="1"/>
    </xf>
    <xf numFmtId="171" fontId="14" fillId="0" borderId="7" xfId="2" applyNumberFormat="1" applyFont="1" applyBorder="1" applyAlignment="1">
      <alignment horizontal="center" vertical="center" wrapText="1"/>
    </xf>
    <xf numFmtId="0" fontId="14" fillId="2" borderId="21" xfId="2" applyFont="1" applyFill="1" applyBorder="1" applyAlignment="1">
      <alignment horizontal="center" vertical="center" wrapText="1"/>
    </xf>
    <xf numFmtId="4" fontId="14" fillId="2" borderId="21" xfId="2" applyNumberFormat="1" applyFont="1" applyFill="1" applyBorder="1" applyAlignment="1">
      <alignment horizontal="center" vertical="center" wrapText="1"/>
    </xf>
    <xf numFmtId="172" fontId="14" fillId="0" borderId="0" xfId="2" applyNumberFormat="1" applyFont="1" applyAlignment="1">
      <alignment vertical="center" wrapText="1"/>
    </xf>
    <xf numFmtId="0" fontId="27" fillId="0" borderId="27" xfId="5" applyFont="1" applyBorder="1" applyAlignment="1">
      <alignment horizontal="left" vertical="center" wrapText="1" shrinkToFit="1"/>
    </xf>
    <xf numFmtId="0" fontId="27" fillId="0" borderId="24" xfId="5" applyFont="1" applyBorder="1" applyAlignment="1">
      <alignment horizontal="left" vertical="center" wrapText="1" shrinkToFit="1"/>
    </xf>
    <xf numFmtId="166" fontId="18" fillId="3" borderId="2" xfId="2" applyNumberFormat="1" applyFont="1" applyFill="1" applyBorder="1" applyAlignment="1">
      <alignment vertical="center" wrapText="1"/>
    </xf>
    <xf numFmtId="168" fontId="18" fillId="3" borderId="2" xfId="2" applyNumberFormat="1" applyFont="1" applyFill="1" applyBorder="1" applyAlignment="1">
      <alignment horizontal="center" vertical="center" wrapText="1"/>
    </xf>
    <xf numFmtId="168" fontId="14" fillId="0" borderId="0" xfId="2" applyNumberFormat="1" applyFont="1" applyAlignment="1">
      <alignment horizontal="center" vertical="center" wrapText="1"/>
    </xf>
    <xf numFmtId="168" fontId="14" fillId="0" borderId="7" xfId="2" applyNumberFormat="1" applyFont="1" applyBorder="1" applyAlignment="1">
      <alignment horizontal="center" vertical="center" wrapText="1"/>
    </xf>
    <xf numFmtId="166" fontId="14" fillId="0" borderId="21" xfId="2" applyNumberFormat="1" applyFont="1" applyBorder="1" applyAlignment="1">
      <alignment vertical="center" wrapText="1"/>
    </xf>
    <xf numFmtId="0" fontId="14" fillId="6" borderId="21" xfId="2" applyFont="1" applyFill="1" applyBorder="1" applyAlignment="1">
      <alignment horizontal="center" vertical="center"/>
    </xf>
    <xf numFmtId="172" fontId="14" fillId="0" borderId="7" xfId="2" applyNumberFormat="1" applyFont="1" applyBorder="1" applyAlignment="1">
      <alignment vertical="center" wrapText="1"/>
    </xf>
    <xf numFmtId="0" fontId="14" fillId="0" borderId="28" xfId="2" applyFont="1" applyBorder="1" applyAlignment="1">
      <alignment horizontal="center" vertical="center" wrapText="1"/>
    </xf>
    <xf numFmtId="0" fontId="14" fillId="0" borderId="28" xfId="2" applyFont="1" applyBorder="1" applyAlignment="1">
      <alignment horizontal="left" vertical="center" wrapText="1"/>
    </xf>
    <xf numFmtId="0" fontId="14" fillId="0" borderId="28" xfId="2" applyFont="1" applyBorder="1" applyAlignment="1">
      <alignment horizontal="center" vertical="center"/>
    </xf>
    <xf numFmtId="4" fontId="14" fillId="0" borderId="28" xfId="2" applyNumberFormat="1" applyFont="1" applyBorder="1" applyAlignment="1">
      <alignment horizontal="center" vertical="center" wrapText="1"/>
    </xf>
    <xf numFmtId="0" fontId="14" fillId="0" borderId="4" xfId="2" applyFont="1" applyBorder="1" applyAlignment="1">
      <alignment horizontal="center" vertical="center"/>
    </xf>
    <xf numFmtId="0" fontId="25" fillId="0" borderId="29" xfId="2" applyFont="1" applyBorder="1" applyAlignment="1">
      <alignment vertical="center" wrapText="1"/>
    </xf>
    <xf numFmtId="171" fontId="14" fillId="0" borderId="4" xfId="2" applyNumberFormat="1" applyFont="1" applyBorder="1" applyAlignment="1">
      <alignment vertical="center" wrapText="1"/>
    </xf>
    <xf numFmtId="168" fontId="14" fillId="0" borderId="4" xfId="2" applyNumberFormat="1" applyFont="1" applyBorder="1" applyAlignment="1">
      <alignment vertical="center" wrapText="1"/>
    </xf>
    <xf numFmtId="168" fontId="14" fillId="0" borderId="5" xfId="2" applyNumberFormat="1" applyFont="1" applyBorder="1" applyAlignment="1">
      <alignment vertical="center" wrapText="1"/>
    </xf>
    <xf numFmtId="0" fontId="14" fillId="0" borderId="28" xfId="2" applyFont="1" applyBorder="1" applyAlignment="1">
      <alignment vertical="center" wrapText="1"/>
    </xf>
    <xf numFmtId="166" fontId="18" fillId="3" borderId="1" xfId="2" applyNumberFormat="1" applyFont="1" applyFill="1" applyBorder="1" applyAlignment="1">
      <alignment horizontal="center" vertical="center" wrapText="1"/>
    </xf>
    <xf numFmtId="2" fontId="20" fillId="3" borderId="2" xfId="2" applyNumberFormat="1" applyFont="1" applyFill="1" applyBorder="1"/>
    <xf numFmtId="4" fontId="14" fillId="0" borderId="21" xfId="0" applyNumberFormat="1" applyFont="1" applyBorder="1" applyAlignment="1">
      <alignment horizontal="center" vertical="center"/>
    </xf>
    <xf numFmtId="0" fontId="25" fillId="0" borderId="23" xfId="2" applyFont="1" applyBorder="1" applyAlignment="1">
      <alignment vertical="center" wrapText="1"/>
    </xf>
    <xf numFmtId="0" fontId="14" fillId="0" borderId="0" xfId="2" applyFont="1" applyAlignment="1">
      <alignment horizontal="left" vertical="center"/>
    </xf>
    <xf numFmtId="171" fontId="14" fillId="0" borderId="0" xfId="2" applyNumberFormat="1" applyFont="1" applyAlignment="1">
      <alignment vertical="center"/>
    </xf>
    <xf numFmtId="49" fontId="14" fillId="0" borderId="21" xfId="2" applyNumberFormat="1" applyFont="1" applyBorder="1" applyAlignment="1">
      <alignment horizontal="center" vertical="center" wrapText="1"/>
    </xf>
    <xf numFmtId="170" fontId="14" fillId="0" borderId="21" xfId="4" applyNumberFormat="1" applyFont="1" applyBorder="1" applyAlignment="1">
      <alignment horizontal="center" vertical="center" wrapText="1"/>
    </xf>
    <xf numFmtId="168" fontId="14" fillId="7" borderId="21" xfId="2" applyNumberFormat="1" applyFont="1" applyFill="1" applyBorder="1" applyAlignment="1" applyProtection="1">
      <alignment vertical="center" wrapText="1"/>
      <protection locked="0"/>
    </xf>
    <xf numFmtId="168" fontId="14" fillId="7" borderId="21" xfId="2" applyNumberFormat="1" applyFont="1" applyFill="1" applyBorder="1" applyAlignment="1" applyProtection="1">
      <alignment vertical="top" wrapText="1"/>
      <protection locked="0"/>
    </xf>
    <xf numFmtId="168" fontId="14" fillId="7" borderId="28" xfId="2" applyNumberFormat="1" applyFont="1" applyFill="1" applyBorder="1" applyAlignment="1" applyProtection="1">
      <alignment vertical="center" wrapText="1"/>
      <protection locked="0"/>
    </xf>
    <xf numFmtId="173" fontId="14" fillId="7" borderId="21" xfId="2" applyNumberFormat="1" applyFont="1" applyFill="1" applyBorder="1" applyAlignment="1" applyProtection="1">
      <alignment vertical="center" wrapText="1"/>
      <protection locked="0"/>
    </xf>
    <xf numFmtId="0" fontId="12" fillId="0" borderId="3" xfId="2" applyFont="1" applyBorder="1" applyAlignment="1" applyProtection="1">
      <alignment vertical="center"/>
      <protection locked="0"/>
    </xf>
    <xf numFmtId="0" fontId="16" fillId="0" borderId="5" xfId="2" applyFont="1" applyBorder="1" applyAlignment="1" applyProtection="1">
      <alignment vertical="center"/>
      <protection locked="0"/>
    </xf>
    <xf numFmtId="0" fontId="11" fillId="0" borderId="12" xfId="2" applyFont="1" applyBorder="1" applyAlignment="1" applyProtection="1">
      <alignment vertical="center"/>
      <protection locked="0"/>
    </xf>
    <xf numFmtId="0" fontId="16" fillId="0" borderId="9" xfId="2" applyFont="1" applyBorder="1" applyAlignment="1" applyProtection="1">
      <alignment vertical="center"/>
      <protection locked="0"/>
    </xf>
    <xf numFmtId="0" fontId="11" fillId="0" borderId="6" xfId="2" applyFont="1" applyBorder="1" applyAlignment="1" applyProtection="1">
      <alignment vertical="center"/>
      <protection locked="0"/>
    </xf>
    <xf numFmtId="0" fontId="16" fillId="0" borderId="8" xfId="2" applyFont="1" applyBorder="1" applyAlignment="1" applyProtection="1">
      <alignment vertical="center"/>
      <protection locked="0"/>
    </xf>
    <xf numFmtId="0" fontId="23" fillId="5" borderId="2" xfId="2" applyFont="1" applyFill="1" applyBorder="1" applyAlignment="1">
      <alignment horizontal="left" vertical="center"/>
    </xf>
    <xf numFmtId="0" fontId="23" fillId="5" borderId="10" xfId="2" applyFont="1" applyFill="1" applyBorder="1" applyAlignment="1">
      <alignment horizontal="left" vertical="center"/>
    </xf>
    <xf numFmtId="0" fontId="4" fillId="0" borderId="0" xfId="2" applyFont="1" applyAlignment="1">
      <alignment horizontal="right"/>
    </xf>
    <xf numFmtId="0" fontId="10" fillId="0" borderId="0" xfId="2" applyFont="1" applyAlignment="1">
      <alignment horizontal="right"/>
    </xf>
    <xf numFmtId="0" fontId="16" fillId="2" borderId="0" xfId="2" applyFont="1" applyFill="1" applyAlignment="1">
      <alignment horizontal="left" vertical="center"/>
    </xf>
    <xf numFmtId="0" fontId="16" fillId="2" borderId="9" xfId="2" applyFont="1" applyFill="1" applyBorder="1" applyAlignment="1">
      <alignment horizontal="left" vertical="center"/>
    </xf>
    <xf numFmtId="0" fontId="16" fillId="2" borderId="0" xfId="2" applyFont="1" applyFill="1" applyAlignment="1">
      <alignment horizontal="left" vertical="top" wrapText="1"/>
    </xf>
    <xf numFmtId="0" fontId="16" fillId="2" borderId="9" xfId="2" applyFont="1" applyFill="1" applyBorder="1" applyAlignment="1">
      <alignment horizontal="left" vertical="top" wrapText="1"/>
    </xf>
    <xf numFmtId="0" fontId="12" fillId="2" borderId="1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15" xfId="2" applyFont="1" applyFill="1" applyBorder="1" applyAlignment="1">
      <alignment horizontal="left" vertical="center"/>
    </xf>
    <xf numFmtId="0" fontId="12" fillId="2" borderId="16" xfId="2" applyFont="1" applyFill="1" applyBorder="1" applyAlignment="1">
      <alignment horizontal="left" vertical="center"/>
    </xf>
    <xf numFmtId="0" fontId="6" fillId="2" borderId="0" xfId="2" applyFont="1" applyFill="1" applyAlignment="1">
      <alignment horizontal="center" vertical="center"/>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6" fillId="2" borderId="0" xfId="2" applyFont="1" applyFill="1" applyAlignment="1">
      <alignment horizontal="left" vertical="center" wrapText="1"/>
    </xf>
    <xf numFmtId="0" fontId="16" fillId="2" borderId="9" xfId="2" applyFont="1" applyFill="1" applyBorder="1" applyAlignment="1">
      <alignment horizontal="left" vertical="center" wrapText="1"/>
    </xf>
  </cellXfs>
  <cellStyles count="6">
    <cellStyle name="Excel Built-in Currency" xfId="1" xr:uid="{00000000-0005-0000-0000-000000000000}"/>
    <cellStyle name="Excel Built-in Normal" xfId="2" xr:uid="{00000000-0005-0000-0000-000001000000}"/>
    <cellStyle name="Excel Built-in Normal 2" xfId="3" xr:uid="{00000000-0005-0000-0000-000002000000}"/>
    <cellStyle name="Normální" xfId="0" builtinId="0"/>
    <cellStyle name="Normální 3 27" xfId="5" xr:uid="{00000000-0005-0000-0000-000004000000}"/>
    <cellStyle name="TableStyleLight1" xfId="4" xr:uid="{00000000-0005-0000-0000-000005000000}"/>
  </cellStyles>
  <dxfs count="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8F8F8"/>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2DA84C"/>
      <color rgb="FFD60000"/>
      <color rgb="FFF8F8F8"/>
      <color rgb="FFFF9797"/>
      <color rgb="FFA2D9FF"/>
      <color rgb="FF118EC8"/>
      <color rgb="FF0E65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30956</xdr:colOff>
      <xdr:row>20</xdr:row>
      <xdr:rowOff>30956</xdr:rowOff>
    </xdr:from>
    <xdr:to>
      <xdr:col>2</xdr:col>
      <xdr:colOff>2146386</xdr:colOff>
      <xdr:row>24</xdr:row>
      <xdr:rowOff>147213</xdr:rowOff>
    </xdr:to>
    <xdr:pic>
      <xdr:nvPicPr>
        <xdr:cNvPr id="2" name="Obrázek 1" descr="Strix_logo.ep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656534" y="5013722"/>
          <a:ext cx="2115430" cy="747288"/>
        </a:xfrm>
        <a:prstGeom prst="rect">
          <a:avLst/>
        </a:prstGeom>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8F8F8"/>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8F8F8"/>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4"/>
  <sheetViews>
    <sheetView tabSelected="1" topLeftCell="A3" zoomScaleNormal="100" workbookViewId="0">
      <selection activeCell="B26" sqref="B26"/>
    </sheetView>
  </sheetViews>
  <sheetFormatPr defaultColWidth="9.140625" defaultRowHeight="11.25" customHeight="1" x14ac:dyDescent="0.2"/>
  <cols>
    <col min="1" max="1" width="52.7109375" style="1" customWidth="1"/>
    <col min="2" max="2" width="16.7109375" style="1" customWidth="1"/>
    <col min="3" max="3" width="52.7109375" style="1" customWidth="1"/>
    <col min="4" max="4" width="16.7109375" style="1" customWidth="1"/>
    <col min="5" max="16384" width="9.140625" style="1"/>
  </cols>
  <sheetData>
    <row r="1" spans="1:11" ht="2.1" customHeight="1" thickBot="1" x14ac:dyDescent="0.25"/>
    <row r="2" spans="1:11" ht="27.95" customHeight="1" thickBot="1" x14ac:dyDescent="0.25">
      <c r="A2" s="42"/>
      <c r="B2" s="135" t="s">
        <v>326</v>
      </c>
      <c r="C2" s="135"/>
      <c r="D2" s="136"/>
    </row>
    <row r="3" spans="1:11" ht="6" customHeight="1" x14ac:dyDescent="0.2">
      <c r="A3" s="14"/>
      <c r="B3" s="151"/>
      <c r="C3" s="151"/>
      <c r="D3" s="152"/>
    </row>
    <row r="4" spans="1:11" ht="15" customHeight="1" x14ac:dyDescent="0.2">
      <c r="A4" s="45" t="s">
        <v>19</v>
      </c>
      <c r="B4" s="141" t="s">
        <v>119</v>
      </c>
      <c r="C4" s="141"/>
      <c r="D4" s="142"/>
    </row>
    <row r="5" spans="1:11" ht="15" customHeight="1" x14ac:dyDescent="0.2">
      <c r="A5" s="14" t="s">
        <v>106</v>
      </c>
      <c r="B5" s="139" t="s">
        <v>120</v>
      </c>
      <c r="C5" s="139"/>
      <c r="D5" s="140"/>
    </row>
    <row r="6" spans="1:11" ht="15" customHeight="1" x14ac:dyDescent="0.2">
      <c r="A6" s="14" t="s">
        <v>11</v>
      </c>
      <c r="B6" s="139" t="s">
        <v>30</v>
      </c>
      <c r="C6" s="139"/>
      <c r="D6" s="140"/>
    </row>
    <row r="7" spans="1:11" ht="15" customHeight="1" x14ac:dyDescent="0.2">
      <c r="A7" s="14" t="s">
        <v>0</v>
      </c>
      <c r="B7" s="43">
        <v>45237</v>
      </c>
      <c r="C7" s="44" t="s">
        <v>310</v>
      </c>
      <c r="D7" s="15"/>
    </row>
    <row r="8" spans="1:11" ht="6" customHeight="1" thickBot="1" x14ac:dyDescent="0.25">
      <c r="A8" s="16"/>
      <c r="B8" s="17"/>
      <c r="C8" s="17"/>
      <c r="D8" s="18"/>
    </row>
    <row r="9" spans="1:11" ht="27.95" customHeight="1" thickBot="1" x14ac:dyDescent="0.25">
      <c r="A9" s="38"/>
      <c r="B9" s="39" t="s">
        <v>1</v>
      </c>
      <c r="C9" s="39"/>
      <c r="D9" s="40"/>
    </row>
    <row r="10" spans="1:11" ht="12" customHeight="1" x14ac:dyDescent="0.2">
      <c r="A10" s="143" t="s">
        <v>12</v>
      </c>
      <c r="B10" s="144"/>
      <c r="C10" s="145" t="s">
        <v>18</v>
      </c>
      <c r="D10" s="146"/>
    </row>
    <row r="11" spans="1:11" ht="27.95" customHeight="1" x14ac:dyDescent="0.2">
      <c r="A11" s="19" t="str">
        <f>'D.1.2.8 Soupis prací s VV'!E4</f>
        <v>Přípravné a přidružené práce a dočasné zajištění staveniště</v>
      </c>
      <c r="B11" s="36">
        <f>'D.1.2.8 Soupis prací s VV'!I4</f>
        <v>0</v>
      </c>
      <c r="C11" s="21" t="str">
        <f>'D.1.2.8 Soupis prací s VV'!E293</f>
        <v>Geodetické práce před výstavbou</v>
      </c>
      <c r="D11" s="20">
        <f>'D.1.2.8 Soupis prací s VV'!I293</f>
        <v>0</v>
      </c>
    </row>
    <row r="12" spans="1:11" ht="27.95" customHeight="1" x14ac:dyDescent="0.2">
      <c r="A12" s="19" t="str">
        <f>'D.1.2.8 Soupis prací s VV'!E53</f>
        <v>Odstranění vegetace, očištění a odtěžení skalního svahu a obnova akumulačního prostoru</v>
      </c>
      <c r="B12" s="36">
        <f>'D.1.2.8 Soupis prací s VV'!I53</f>
        <v>0</v>
      </c>
      <c r="C12" s="21" t="str">
        <f>'D.1.2.8 Soupis prací s VV'!E296</f>
        <v>Geodetické práce při provádění stavby</v>
      </c>
      <c r="D12" s="20">
        <f>'D.1.2.8 Soupis prací s VV'!I296</f>
        <v>0</v>
      </c>
      <c r="H12" s="3"/>
      <c r="I12" s="3"/>
      <c r="J12" s="3"/>
      <c r="K12" s="3"/>
    </row>
    <row r="13" spans="1:11" ht="27.95" customHeight="1" x14ac:dyDescent="0.2">
      <c r="A13" s="19" t="str">
        <f>'D.1.2.8 Soupis prací s VV'!E84</f>
        <v>Lokální kotvení skalních bloků</v>
      </c>
      <c r="B13" s="36">
        <f>'D.1.2.8 Soupis prací s VV'!I84</f>
        <v>0</v>
      </c>
      <c r="C13" s="21" t="str">
        <f>'D.1.2.8 Soupis prací s VV'!E299</f>
        <v>Geodetické práce po výstavbě</v>
      </c>
      <c r="D13" s="20">
        <f>'D.1.2.8 Soupis prací s VV'!I299</f>
        <v>0</v>
      </c>
      <c r="H13" s="3"/>
      <c r="I13" s="3"/>
      <c r="J13" s="3"/>
      <c r="K13" s="3"/>
    </row>
    <row r="14" spans="1:11" ht="27.95" customHeight="1" x14ac:dyDescent="0.2">
      <c r="A14" s="19" t="str">
        <f>'D.1.2.8 Soupis prací s VV'!E100</f>
        <v>Kotvená kamenná podezdívka</v>
      </c>
      <c r="B14" s="36">
        <f>'D.1.2.8 Soupis prací s VV'!I100</f>
        <v>0</v>
      </c>
      <c r="C14" s="21" t="str">
        <f>'D.1.2.8 Soupis prací s VV'!E302</f>
        <v>Projektová dokumentace skutečného provedení stavby - DSPS</v>
      </c>
      <c r="D14" s="20">
        <f>'D.1.2.8 Soupis prací s VV'!I302</f>
        <v>0</v>
      </c>
      <c r="H14" s="3"/>
      <c r="I14" s="3"/>
      <c r="J14" s="3"/>
      <c r="K14" s="3"/>
    </row>
    <row r="15" spans="1:11" ht="27.95" customHeight="1" x14ac:dyDescent="0.2">
      <c r="A15" s="19" t="str">
        <f>'D.1.2.8 Soupis prací s VV'!E131</f>
        <v>Zajištění skalního svahu ocel. sítí 80 x 100 mm s PVL á 0,5 / 1,0 m</v>
      </c>
      <c r="B15" s="36">
        <f>'D.1.2.8 Soupis prací s VV'!I131</f>
        <v>0</v>
      </c>
      <c r="C15" s="21"/>
      <c r="D15" s="20"/>
      <c r="H15" s="3"/>
      <c r="I15" s="3"/>
      <c r="J15" s="3"/>
      <c r="K15" s="3"/>
    </row>
    <row r="16" spans="1:11" ht="27.95" customHeight="1" x14ac:dyDescent="0.2">
      <c r="A16" s="19" t="str">
        <f>'D.1.2.8 Soupis prací s VV'!E171</f>
        <v>Dynamická bariéra výšky do 4,0 / 4,5 m</v>
      </c>
      <c r="B16" s="36">
        <f>'D.1.2.8 Soupis prací s VV'!I171</f>
        <v>0</v>
      </c>
      <c r="C16" s="21" t="str">
        <f>'D.1.2.8 Soupis prací s VV'!E305</f>
        <v>Vybavení staveniště, přenosné zdroje, zabezpečení staveniště, sociální zařízení, včetně jeho odstranění</v>
      </c>
      <c r="D16" s="20">
        <f>'D.1.2.8 Soupis prací s VV'!I305</f>
        <v>0</v>
      </c>
      <c r="H16" s="11"/>
      <c r="I16" s="3"/>
      <c r="J16" s="3"/>
      <c r="K16" s="3"/>
    </row>
    <row r="17" spans="1:11" ht="27.95" customHeight="1" x14ac:dyDescent="0.2">
      <c r="A17" s="19" t="str">
        <f>'D.1.2.8 Soupis prací s VV'!E235</f>
        <v>Ochranný plot výšky do 2,0 m</v>
      </c>
      <c r="B17" s="36">
        <f>'D.1.2.8 Soupis prací s VV'!I235</f>
        <v>0</v>
      </c>
      <c r="C17" s="21" t="s">
        <v>343</v>
      </c>
      <c r="D17" s="20">
        <f>'D.1.2.8 Soupis prací s VV'!I308</f>
        <v>0</v>
      </c>
      <c r="H17" s="11"/>
      <c r="I17" s="3"/>
      <c r="J17" s="3"/>
      <c r="K17" s="3"/>
    </row>
    <row r="18" spans="1:11" ht="27.95" customHeight="1" x14ac:dyDescent="0.2">
      <c r="A18" s="19" t="str">
        <f>'D.1.2.8 Soupis prací s VV'!E275</f>
        <v>Geotechnický monitoring</v>
      </c>
      <c r="B18" s="36">
        <f>'D.1.2.8 Soupis prací s VV'!I275</f>
        <v>0</v>
      </c>
      <c r="C18" s="21"/>
      <c r="D18" s="20"/>
      <c r="H18" s="11"/>
      <c r="I18" s="3"/>
      <c r="J18" s="3"/>
      <c r="K18" s="3"/>
    </row>
    <row r="19" spans="1:11" ht="27.95" customHeight="1" thickBot="1" x14ac:dyDescent="0.25">
      <c r="A19" s="19" t="str">
        <f>'D.1.2.8 Soupis prací s VV'!E279</f>
        <v>Přesuny hmot</v>
      </c>
      <c r="B19" s="36">
        <f>'D.1.2.8 Soupis prací s VV'!I279</f>
        <v>0</v>
      </c>
      <c r="C19" s="21"/>
      <c r="D19" s="20"/>
      <c r="H19" s="11"/>
      <c r="I19" s="3"/>
      <c r="J19" s="3"/>
      <c r="K19" s="3"/>
    </row>
    <row r="20" spans="1:11" ht="12" customHeight="1" thickBot="1" x14ac:dyDescent="0.25">
      <c r="A20" s="12" t="s">
        <v>14</v>
      </c>
      <c r="B20" s="37">
        <f>SUM(B11:B19)</f>
        <v>0</v>
      </c>
      <c r="C20" s="12" t="s">
        <v>21</v>
      </c>
      <c r="D20" s="37">
        <f>SUM(D11:D19)</f>
        <v>0</v>
      </c>
      <c r="F20" s="13"/>
      <c r="H20" s="3"/>
      <c r="I20" s="3"/>
      <c r="J20" s="3"/>
      <c r="K20" s="3"/>
    </row>
    <row r="21" spans="1:11" ht="9.9499999999999993" customHeight="1" x14ac:dyDescent="0.2">
      <c r="A21" s="28"/>
      <c r="B21" s="22"/>
      <c r="C21" s="147"/>
      <c r="D21" s="148"/>
    </row>
    <row r="22" spans="1:11" ht="15" customHeight="1" x14ac:dyDescent="0.2">
      <c r="A22" s="29" t="s">
        <v>4</v>
      </c>
      <c r="B22" s="30">
        <f>D20+B20</f>
        <v>0</v>
      </c>
      <c r="C22" s="147"/>
      <c r="D22" s="148"/>
    </row>
    <row r="23" spans="1:11" ht="15" customHeight="1" x14ac:dyDescent="0.2">
      <c r="A23" s="31" t="s">
        <v>17</v>
      </c>
      <c r="B23" s="32">
        <f>0.21*B22</f>
        <v>0</v>
      </c>
      <c r="C23" s="147"/>
      <c r="D23" s="148"/>
    </row>
    <row r="24" spans="1:11" ht="9.9499999999999993" customHeight="1" thickBot="1" x14ac:dyDescent="0.25">
      <c r="A24" s="33"/>
      <c r="B24" s="34"/>
      <c r="C24" s="147"/>
      <c r="D24" s="148"/>
    </row>
    <row r="25" spans="1:11" ht="15" customHeight="1" thickBot="1" x14ac:dyDescent="0.25">
      <c r="A25" s="38" t="s">
        <v>13</v>
      </c>
      <c r="B25" s="41">
        <f>B22+B23</f>
        <v>0</v>
      </c>
      <c r="C25" s="149"/>
      <c r="D25" s="150"/>
    </row>
    <row r="26" spans="1:11" ht="12" customHeight="1" x14ac:dyDescent="0.2">
      <c r="A26" s="129" t="s">
        <v>5</v>
      </c>
      <c r="B26" s="130"/>
      <c r="C26" s="25" t="s">
        <v>22</v>
      </c>
      <c r="D26" s="23"/>
    </row>
    <row r="27" spans="1:11" ht="12" customHeight="1" x14ac:dyDescent="0.2">
      <c r="A27" s="131" t="s">
        <v>2</v>
      </c>
      <c r="B27" s="132"/>
      <c r="C27" s="26" t="s">
        <v>2</v>
      </c>
      <c r="D27" s="35" t="s">
        <v>16</v>
      </c>
    </row>
    <row r="28" spans="1:11" ht="12" customHeight="1" x14ac:dyDescent="0.2">
      <c r="A28" s="131" t="s">
        <v>0</v>
      </c>
      <c r="B28" s="132"/>
      <c r="C28" s="26" t="s">
        <v>0</v>
      </c>
      <c r="D28" s="24">
        <f>B7</f>
        <v>45237</v>
      </c>
    </row>
    <row r="29" spans="1:11" ht="12" customHeight="1" thickBot="1" x14ac:dyDescent="0.25">
      <c r="A29" s="133" t="s">
        <v>3</v>
      </c>
      <c r="B29" s="134"/>
      <c r="C29" s="27" t="s">
        <v>3</v>
      </c>
      <c r="D29" s="18"/>
    </row>
    <row r="30" spans="1:11" ht="12" customHeight="1" x14ac:dyDescent="0.2">
      <c r="A30" s="5"/>
      <c r="B30" s="5"/>
      <c r="C30" s="5"/>
      <c r="D30" s="5"/>
    </row>
    <row r="31" spans="1:11" ht="15" customHeight="1" x14ac:dyDescent="0.2">
      <c r="B31" s="13"/>
    </row>
    <row r="32" spans="1:11" s="2" customFormat="1" ht="22.5" customHeight="1" x14ac:dyDescent="0.2"/>
    <row r="34" spans="1:4" ht="12" customHeight="1" x14ac:dyDescent="0.2"/>
    <row r="35" spans="1:4" ht="16.5" customHeight="1" x14ac:dyDescent="0.2"/>
    <row r="37" spans="1:4" ht="11.25" customHeight="1" x14ac:dyDescent="0.2">
      <c r="A37" s="6"/>
      <c r="B37" s="8"/>
      <c r="C37" s="4"/>
      <c r="D37" s="4"/>
    </row>
    <row r="38" spans="1:4" ht="15" customHeight="1" x14ac:dyDescent="0.2">
      <c r="A38" s="7"/>
      <c r="B38" s="9"/>
      <c r="C38" s="4"/>
      <c r="D38" s="4"/>
    </row>
    <row r="39" spans="1:4" ht="11.25" customHeight="1" x14ac:dyDescent="0.2">
      <c r="A39" s="4"/>
      <c r="B39" s="4"/>
      <c r="C39" s="4"/>
      <c r="D39" s="4"/>
    </row>
    <row r="40" spans="1:4" ht="11.25" customHeight="1" x14ac:dyDescent="0.2">
      <c r="A40" s="10"/>
      <c r="B40" s="4"/>
      <c r="C40" s="4"/>
      <c r="D40" s="4"/>
    </row>
    <row r="41" spans="1:4" ht="11.25" customHeight="1" x14ac:dyDescent="0.2">
      <c r="A41" s="4"/>
      <c r="B41" s="4"/>
      <c r="C41" s="138"/>
      <c r="D41" s="138"/>
    </row>
    <row r="42" spans="1:4" ht="12.75" customHeight="1" x14ac:dyDescent="0.2">
      <c r="A42" s="4"/>
      <c r="B42" s="4"/>
      <c r="C42" s="137"/>
      <c r="D42" s="137"/>
    </row>
    <row r="43" spans="1:4" ht="11.25" customHeight="1" x14ac:dyDescent="0.2">
      <c r="A43" s="4"/>
      <c r="B43" s="4"/>
      <c r="C43" s="4"/>
      <c r="D43" s="4"/>
    </row>
    <row r="44" spans="1:4" ht="11.25" customHeight="1" x14ac:dyDescent="0.2">
      <c r="A44" s="4"/>
      <c r="B44" s="4"/>
      <c r="C44" s="4"/>
      <c r="D44" s="4"/>
    </row>
  </sheetData>
  <sheetProtection algorithmName="SHA-512" hashValue="4FdE+EM6BSF1mTV2ZMOLjK2ZatkaFv0abkNS2yBAblKU5GKI3jsnET1wZYAW1ggHRZjcQ0FkJziEWDOSNOVmSw==" saltValue="yrLVCOV7Dx+PK0iUY1SwMQ==" spinCount="100000" sheet="1" objects="1" scenarios="1" selectLockedCells="1"/>
  <mergeCells count="10">
    <mergeCell ref="B2:D2"/>
    <mergeCell ref="C42:D42"/>
    <mergeCell ref="C41:D41"/>
    <mergeCell ref="B6:D6"/>
    <mergeCell ref="B4:D4"/>
    <mergeCell ref="B5:D5"/>
    <mergeCell ref="A10:B10"/>
    <mergeCell ref="C10:D10"/>
    <mergeCell ref="C21:D25"/>
    <mergeCell ref="B3:D3"/>
  </mergeCells>
  <printOptions horizontalCentered="1"/>
  <pageMargins left="0.39370078740157483" right="0.39370078740157483" top="0.78740157480314965" bottom="0.39370078740157483" header="0.19685039370078741" footer="0.19685039370078741"/>
  <pageSetup paperSize="9" scale="96" firstPageNumber="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310"/>
  <sheetViews>
    <sheetView showGridLines="0" zoomScaleNormal="100" zoomScaleSheetLayoutView="80" workbookViewId="0">
      <selection activeCell="H5" sqref="H5"/>
    </sheetView>
  </sheetViews>
  <sheetFormatPr defaultColWidth="9.140625" defaultRowHeight="12.75" customHeight="1" x14ac:dyDescent="0.2"/>
  <cols>
    <col min="1" max="1" width="3.140625" style="47" customWidth="1"/>
    <col min="2" max="2" width="3.42578125" style="46" customWidth="1"/>
    <col min="3" max="3" width="11.7109375" style="46" customWidth="1"/>
    <col min="4" max="4" width="10.7109375" style="46" customWidth="1"/>
    <col min="5" max="5" width="80.7109375" style="47" customWidth="1"/>
    <col min="6" max="6" width="6.7109375" style="46" customWidth="1"/>
    <col min="7" max="7" width="8.7109375" style="48" customWidth="1"/>
    <col min="8" max="8" width="10.7109375" style="48" customWidth="1"/>
    <col min="9" max="9" width="14.7109375" style="48" customWidth="1"/>
    <col min="10" max="16384" width="9.140625" style="47"/>
  </cols>
  <sheetData>
    <row r="1" spans="2:9" ht="2.1" customHeight="1" thickBot="1" x14ac:dyDescent="0.25"/>
    <row r="2" spans="2:9" ht="30" customHeight="1" thickBot="1" x14ac:dyDescent="0.25">
      <c r="B2" s="49"/>
      <c r="C2" s="50"/>
      <c r="D2" s="50"/>
      <c r="E2" s="51" t="s">
        <v>77</v>
      </c>
      <c r="F2" s="50"/>
      <c r="G2" s="50"/>
      <c r="H2" s="50"/>
      <c r="I2" s="52"/>
    </row>
    <row r="3" spans="2:9" ht="30" customHeight="1" thickBot="1" x14ac:dyDescent="0.25">
      <c r="B3" s="53" t="s">
        <v>20</v>
      </c>
      <c r="C3" s="54" t="s">
        <v>78</v>
      </c>
      <c r="D3" s="54" t="s">
        <v>72</v>
      </c>
      <c r="E3" s="54" t="s">
        <v>79</v>
      </c>
      <c r="F3" s="54" t="s">
        <v>6</v>
      </c>
      <c r="G3" s="55" t="s">
        <v>73</v>
      </c>
      <c r="H3" s="55" t="s">
        <v>10</v>
      </c>
      <c r="I3" s="56" t="s">
        <v>7</v>
      </c>
    </row>
    <row r="4" spans="2:9" ht="12.95" customHeight="1" thickBot="1" x14ac:dyDescent="0.25">
      <c r="B4" s="57"/>
      <c r="C4" s="58"/>
      <c r="D4" s="58"/>
      <c r="E4" s="59" t="s">
        <v>29</v>
      </c>
      <c r="F4" s="60"/>
      <c r="G4" s="60"/>
      <c r="H4" s="60"/>
      <c r="I4" s="61">
        <f>SUM(I5:I52)</f>
        <v>0</v>
      </c>
    </row>
    <row r="5" spans="2:9" ht="15" thickBot="1" x14ac:dyDescent="0.25">
      <c r="B5" s="62">
        <f>1+MAX($B$3:B4)</f>
        <v>1</v>
      </c>
      <c r="C5" s="63" t="s">
        <v>31</v>
      </c>
      <c r="D5" s="63" t="s">
        <v>74</v>
      </c>
      <c r="E5" s="64" t="s">
        <v>220</v>
      </c>
      <c r="F5" s="65" t="s">
        <v>23</v>
      </c>
      <c r="G5" s="66">
        <f>CEILING((100+30)*1.5*1.2,1)</f>
        <v>234</v>
      </c>
      <c r="H5" s="125"/>
      <c r="I5" s="67">
        <f>G5*H5</f>
        <v>0</v>
      </c>
    </row>
    <row r="6" spans="2:9" ht="14.25" x14ac:dyDescent="0.2">
      <c r="B6" s="68"/>
      <c r="C6" s="69"/>
      <c r="D6" s="69"/>
      <c r="E6" s="70" t="s">
        <v>224</v>
      </c>
      <c r="F6" s="69"/>
      <c r="G6" s="71"/>
      <c r="H6" s="72"/>
      <c r="I6" s="73"/>
    </row>
    <row r="7" spans="2:9" ht="60.75" thickBot="1" x14ac:dyDescent="0.25">
      <c r="B7" s="74"/>
      <c r="C7" s="75"/>
      <c r="D7" s="75"/>
      <c r="E7" s="76" t="s">
        <v>222</v>
      </c>
      <c r="F7" s="75"/>
      <c r="G7" s="77"/>
      <c r="H7" s="78"/>
      <c r="I7" s="79"/>
    </row>
    <row r="8" spans="2:9" ht="15" thickBot="1" x14ac:dyDescent="0.25">
      <c r="B8" s="62">
        <f>1+MAX($B$3:B7)</f>
        <v>2</v>
      </c>
      <c r="C8" s="63" t="s">
        <v>90</v>
      </c>
      <c r="D8" s="65" t="s">
        <v>75</v>
      </c>
      <c r="E8" s="64" t="s">
        <v>105</v>
      </c>
      <c r="F8" s="65" t="s">
        <v>23</v>
      </c>
      <c r="G8" s="66">
        <f>CEILING((32*2)*1.2,1)</f>
        <v>77</v>
      </c>
      <c r="H8" s="125"/>
      <c r="I8" s="67">
        <f>G8*H8</f>
        <v>0</v>
      </c>
    </row>
    <row r="9" spans="2:9" ht="14.25" x14ac:dyDescent="0.2">
      <c r="B9" s="68"/>
      <c r="C9" s="69"/>
      <c r="D9" s="69"/>
      <c r="E9" s="70" t="s">
        <v>219</v>
      </c>
      <c r="F9" s="69"/>
      <c r="G9" s="71"/>
      <c r="H9" s="72"/>
      <c r="I9" s="73"/>
    </row>
    <row r="10" spans="2:9" ht="60.75" thickBot="1" x14ac:dyDescent="0.25">
      <c r="B10" s="74"/>
      <c r="C10" s="75"/>
      <c r="D10" s="75"/>
      <c r="E10" s="76" t="s">
        <v>221</v>
      </c>
      <c r="F10" s="75"/>
      <c r="G10" s="77"/>
      <c r="H10" s="78"/>
      <c r="I10" s="79"/>
    </row>
    <row r="11" spans="2:9" ht="24.75" thickBot="1" x14ac:dyDescent="0.25">
      <c r="B11" s="62">
        <f>1+MAX($B$3:B10)</f>
        <v>3</v>
      </c>
      <c r="C11" s="63">
        <v>184818242</v>
      </c>
      <c r="D11" s="63" t="s">
        <v>127</v>
      </c>
      <c r="E11" s="64" t="s">
        <v>50</v>
      </c>
      <c r="F11" s="63" t="s">
        <v>121</v>
      </c>
      <c r="G11" s="66">
        <f>7</f>
        <v>7</v>
      </c>
      <c r="H11" s="125"/>
      <c r="I11" s="67">
        <f>G11*H11</f>
        <v>0</v>
      </c>
    </row>
    <row r="12" spans="2:9" ht="12" x14ac:dyDescent="0.2">
      <c r="B12" s="68"/>
      <c r="C12" s="69"/>
      <c r="D12" s="69"/>
      <c r="E12" s="70" t="s">
        <v>284</v>
      </c>
      <c r="F12" s="69"/>
      <c r="G12" s="71"/>
      <c r="H12" s="72"/>
      <c r="I12" s="73"/>
    </row>
    <row r="13" spans="2:9" ht="48.75" thickBot="1" x14ac:dyDescent="0.25">
      <c r="B13" s="74"/>
      <c r="C13" s="75"/>
      <c r="D13" s="75"/>
      <c r="E13" s="76" t="s">
        <v>223</v>
      </c>
      <c r="F13" s="75"/>
      <c r="G13" s="77"/>
      <c r="H13" s="78"/>
      <c r="I13" s="79"/>
    </row>
    <row r="14" spans="2:9" ht="24.75" customHeight="1" thickBot="1" x14ac:dyDescent="0.25">
      <c r="B14" s="62">
        <f>1+MAX($B$3:B13)</f>
        <v>4</v>
      </c>
      <c r="C14" s="63" t="s">
        <v>240</v>
      </c>
      <c r="D14" s="65" t="s">
        <v>75</v>
      </c>
      <c r="E14" s="80" t="s">
        <v>329</v>
      </c>
      <c r="F14" s="65" t="s">
        <v>8</v>
      </c>
      <c r="G14" s="66">
        <f>(100)+(2*4)</f>
        <v>108</v>
      </c>
      <c r="H14" s="125"/>
      <c r="I14" s="67">
        <f>G14*H14</f>
        <v>0</v>
      </c>
    </row>
    <row r="15" spans="2:9" ht="12" x14ac:dyDescent="0.2">
      <c r="B15" s="68"/>
      <c r="C15" s="69"/>
      <c r="D15" s="69"/>
      <c r="E15" s="70" t="s">
        <v>242</v>
      </c>
      <c r="F15" s="69"/>
      <c r="G15" s="71"/>
      <c r="H15" s="72"/>
      <c r="I15" s="73"/>
    </row>
    <row r="16" spans="2:9" ht="24.75" thickBot="1" x14ac:dyDescent="0.25">
      <c r="B16" s="68"/>
      <c r="C16" s="75"/>
      <c r="D16" s="75"/>
      <c r="E16" s="76" t="s">
        <v>243</v>
      </c>
      <c r="F16" s="75"/>
      <c r="G16" s="77"/>
      <c r="H16" s="78"/>
      <c r="I16" s="79"/>
    </row>
    <row r="17" spans="2:9" ht="25.5" customHeight="1" thickBot="1" x14ac:dyDescent="0.25">
      <c r="B17" s="62">
        <f>1+MAX($B$3:B16)</f>
        <v>5</v>
      </c>
      <c r="C17" s="63" t="s">
        <v>228</v>
      </c>
      <c r="D17" s="65" t="s">
        <v>75</v>
      </c>
      <c r="E17" s="64" t="s">
        <v>229</v>
      </c>
      <c r="F17" s="65" t="s">
        <v>225</v>
      </c>
      <c r="G17" s="66">
        <f>G14*(31+30+31+30)</f>
        <v>13176</v>
      </c>
      <c r="H17" s="128"/>
      <c r="I17" s="67">
        <f>G17*H17</f>
        <v>0</v>
      </c>
    </row>
    <row r="18" spans="2:9" ht="12" x14ac:dyDescent="0.2">
      <c r="B18" s="68"/>
      <c r="C18" s="69"/>
      <c r="D18" s="69"/>
      <c r="E18" s="70" t="s">
        <v>283</v>
      </c>
      <c r="F18" s="69"/>
      <c r="G18" s="71"/>
      <c r="H18" s="72"/>
      <c r="I18" s="73"/>
    </row>
    <row r="19" spans="2:9" thickBot="1" x14ac:dyDescent="0.25">
      <c r="B19" s="68"/>
      <c r="C19" s="75"/>
      <c r="D19" s="75"/>
      <c r="E19" s="76" t="s">
        <v>226</v>
      </c>
      <c r="F19" s="75"/>
      <c r="G19" s="77"/>
      <c r="H19" s="78"/>
      <c r="I19" s="79"/>
    </row>
    <row r="20" spans="2:9" ht="15" customHeight="1" thickBot="1" x14ac:dyDescent="0.25">
      <c r="B20" s="62">
        <f>1+MAX($B$3:B19)</f>
        <v>6</v>
      </c>
      <c r="C20" s="65">
        <v>911381822</v>
      </c>
      <c r="D20" s="63" t="s">
        <v>127</v>
      </c>
      <c r="E20" s="81" t="s">
        <v>244</v>
      </c>
      <c r="F20" s="63" t="s">
        <v>8</v>
      </c>
      <c r="G20" s="66">
        <f>G14</f>
        <v>108</v>
      </c>
      <c r="H20" s="125"/>
      <c r="I20" s="67">
        <f>G20*H20</f>
        <v>0</v>
      </c>
    </row>
    <row r="21" spans="2:9" ht="12" x14ac:dyDescent="0.2">
      <c r="B21" s="68"/>
      <c r="C21" s="69"/>
      <c r="D21" s="69"/>
      <c r="E21" s="70" t="s">
        <v>241</v>
      </c>
      <c r="F21" s="69"/>
      <c r="G21" s="71"/>
      <c r="H21" s="72"/>
      <c r="I21" s="73"/>
    </row>
    <row r="22" spans="2:9" thickBot="1" x14ac:dyDescent="0.25">
      <c r="B22" s="68"/>
      <c r="C22" s="75"/>
      <c r="D22" s="75"/>
      <c r="E22" s="76" t="s">
        <v>227</v>
      </c>
      <c r="F22" s="75"/>
      <c r="G22" s="77"/>
      <c r="H22" s="78"/>
      <c r="I22" s="79"/>
    </row>
    <row r="23" spans="2:9" ht="37.5" customHeight="1" thickBot="1" x14ac:dyDescent="0.25">
      <c r="B23" s="62">
        <f>1+MAX($B$3:B22)</f>
        <v>7</v>
      </c>
      <c r="C23" s="65">
        <v>155213312</v>
      </c>
      <c r="D23" s="63" t="s">
        <v>127</v>
      </c>
      <c r="E23" s="82" t="s">
        <v>230</v>
      </c>
      <c r="F23" s="63" t="s">
        <v>231</v>
      </c>
      <c r="G23" s="66">
        <f>CEILING((G14-8)/4+1,1)</f>
        <v>26</v>
      </c>
      <c r="H23" s="125"/>
      <c r="I23" s="67">
        <f>G23*H23</f>
        <v>0</v>
      </c>
    </row>
    <row r="24" spans="2:9" ht="12" x14ac:dyDescent="0.2">
      <c r="B24" s="68"/>
      <c r="C24" s="69"/>
      <c r="D24" s="69"/>
      <c r="E24" s="70" t="s">
        <v>245</v>
      </c>
      <c r="F24" s="69"/>
      <c r="G24" s="71"/>
      <c r="H24" s="72"/>
      <c r="I24" s="73"/>
    </row>
    <row r="25" spans="2:9" ht="36.75" thickBot="1" x14ac:dyDescent="0.25">
      <c r="B25" s="68"/>
      <c r="C25" s="75"/>
      <c r="D25" s="75"/>
      <c r="E25" s="76" t="s">
        <v>246</v>
      </c>
      <c r="F25" s="75"/>
      <c r="G25" s="77"/>
      <c r="H25" s="72"/>
      <c r="I25" s="73"/>
    </row>
    <row r="26" spans="2:9" ht="15" thickBot="1" x14ac:dyDescent="0.25">
      <c r="B26" s="62">
        <f>1+MAX($B$3:B25)</f>
        <v>8</v>
      </c>
      <c r="C26" s="83">
        <v>944511111</v>
      </c>
      <c r="D26" s="63" t="s">
        <v>127</v>
      </c>
      <c r="E26" s="84" t="s">
        <v>232</v>
      </c>
      <c r="F26" s="65" t="s">
        <v>23</v>
      </c>
      <c r="G26" s="66">
        <f>CEILING((G14-8)*2.2,1)</f>
        <v>220</v>
      </c>
      <c r="H26" s="125"/>
      <c r="I26" s="67">
        <f>G26*H26</f>
        <v>0</v>
      </c>
    </row>
    <row r="27" spans="2:9" ht="14.25" x14ac:dyDescent="0.2">
      <c r="B27" s="68"/>
      <c r="C27" s="69"/>
      <c r="D27" s="69"/>
      <c r="E27" s="70" t="s">
        <v>247</v>
      </c>
      <c r="F27" s="69"/>
      <c r="G27" s="71"/>
      <c r="H27" s="72"/>
      <c r="I27" s="73"/>
    </row>
    <row r="28" spans="2:9" ht="24.75" thickBot="1" x14ac:dyDescent="0.25">
      <c r="B28" s="68"/>
      <c r="C28" s="75"/>
      <c r="D28" s="75"/>
      <c r="E28" s="76" t="s">
        <v>248</v>
      </c>
      <c r="F28" s="75"/>
      <c r="G28" s="77"/>
      <c r="H28" s="78"/>
      <c r="I28" s="73"/>
    </row>
    <row r="29" spans="2:9" ht="15" thickBot="1" x14ac:dyDescent="0.25">
      <c r="B29" s="62">
        <f>1+MAX($B$3:B28)</f>
        <v>9</v>
      </c>
      <c r="C29" s="85">
        <v>919726121</v>
      </c>
      <c r="D29" s="63" t="s">
        <v>127</v>
      </c>
      <c r="E29" s="86" t="s">
        <v>44</v>
      </c>
      <c r="F29" s="87" t="s">
        <v>23</v>
      </c>
      <c r="G29" s="66">
        <f>CEILING(G26*1.2,1)</f>
        <v>264</v>
      </c>
      <c r="H29" s="125"/>
      <c r="I29" s="67">
        <f>G29*H29</f>
        <v>0</v>
      </c>
    </row>
    <row r="30" spans="2:9" ht="14.25" x14ac:dyDescent="0.2">
      <c r="B30" s="68"/>
      <c r="C30" s="69"/>
      <c r="D30" s="69"/>
      <c r="E30" s="70" t="s">
        <v>233</v>
      </c>
      <c r="F30" s="69"/>
      <c r="G30" s="71"/>
      <c r="H30" s="72"/>
      <c r="I30" s="73"/>
    </row>
    <row r="31" spans="2:9" ht="24.75" thickBot="1" x14ac:dyDescent="0.25">
      <c r="B31" s="68"/>
      <c r="C31" s="75"/>
      <c r="D31" s="75"/>
      <c r="E31" s="76" t="s">
        <v>234</v>
      </c>
      <c r="F31" s="75"/>
      <c r="G31" s="77"/>
      <c r="H31" s="78"/>
      <c r="I31" s="73"/>
    </row>
    <row r="32" spans="2:9" ht="15" thickBot="1" x14ac:dyDescent="0.25">
      <c r="B32" s="62">
        <f>1+MAX($B$3:B31)</f>
        <v>10</v>
      </c>
      <c r="C32" s="85" t="s">
        <v>235</v>
      </c>
      <c r="D32" s="65" t="s">
        <v>75</v>
      </c>
      <c r="E32" s="81" t="s">
        <v>249</v>
      </c>
      <c r="F32" s="65" t="s">
        <v>23</v>
      </c>
      <c r="G32" s="66">
        <f>G29</f>
        <v>264</v>
      </c>
      <c r="H32" s="125"/>
      <c r="I32" s="67">
        <f>G32*H32</f>
        <v>0</v>
      </c>
    </row>
    <row r="33" spans="2:9" ht="12" x14ac:dyDescent="0.2">
      <c r="B33" s="68"/>
      <c r="C33" s="69"/>
      <c r="D33" s="69"/>
      <c r="E33" s="70" t="s">
        <v>83</v>
      </c>
      <c r="F33" s="69"/>
      <c r="G33" s="71"/>
      <c r="H33" s="72"/>
      <c r="I33" s="73"/>
    </row>
    <row r="34" spans="2:9" thickBot="1" x14ac:dyDescent="0.25">
      <c r="B34" s="68"/>
      <c r="C34" s="75"/>
      <c r="D34" s="75"/>
      <c r="E34" s="76" t="s">
        <v>250</v>
      </c>
      <c r="F34" s="75"/>
      <c r="G34" s="77"/>
      <c r="H34" s="78"/>
      <c r="I34" s="73"/>
    </row>
    <row r="35" spans="2:9" thickBot="1" x14ac:dyDescent="0.25">
      <c r="B35" s="62">
        <f>1+MAX($B$3:B34)</f>
        <v>11</v>
      </c>
      <c r="C35" s="65">
        <v>155214211</v>
      </c>
      <c r="D35" s="63" t="s">
        <v>127</v>
      </c>
      <c r="E35" s="81" t="s">
        <v>36</v>
      </c>
      <c r="F35" s="66" t="s">
        <v>8</v>
      </c>
      <c r="G35" s="66">
        <f>CEILING((G14-8)*3,1)</f>
        <v>300</v>
      </c>
      <c r="H35" s="125"/>
      <c r="I35" s="67">
        <f>G35*H35</f>
        <v>0</v>
      </c>
    </row>
    <row r="36" spans="2:9" ht="12" x14ac:dyDescent="0.2">
      <c r="B36" s="68"/>
      <c r="C36" s="69"/>
      <c r="D36" s="69"/>
      <c r="E36" s="70" t="s">
        <v>251</v>
      </c>
      <c r="F36" s="69"/>
      <c r="G36" s="71"/>
      <c r="H36" s="72"/>
      <c r="I36" s="73"/>
    </row>
    <row r="37" spans="2:9" ht="24.75" thickBot="1" x14ac:dyDescent="0.25">
      <c r="B37" s="68"/>
      <c r="C37" s="75"/>
      <c r="D37" s="75"/>
      <c r="E37" s="76" t="s">
        <v>236</v>
      </c>
      <c r="F37" s="75"/>
      <c r="G37" s="77"/>
      <c r="H37" s="78"/>
      <c r="I37" s="73"/>
    </row>
    <row r="38" spans="2:9" thickBot="1" x14ac:dyDescent="0.25">
      <c r="B38" s="62">
        <f>1+MAX($B$3:B37)</f>
        <v>12</v>
      </c>
      <c r="C38" s="83">
        <v>31452107</v>
      </c>
      <c r="D38" s="63" t="s">
        <v>127</v>
      </c>
      <c r="E38" s="81" t="s">
        <v>37</v>
      </c>
      <c r="F38" s="66" t="s">
        <v>8</v>
      </c>
      <c r="G38" s="66">
        <f>CEILING((G35*1.2),1)</f>
        <v>360</v>
      </c>
      <c r="H38" s="125"/>
      <c r="I38" s="67">
        <f>G38*H38</f>
        <v>0</v>
      </c>
    </row>
    <row r="39" spans="2:9" ht="12" x14ac:dyDescent="0.2">
      <c r="B39" s="68"/>
      <c r="C39" s="69"/>
      <c r="D39" s="69"/>
      <c r="E39" s="70" t="s">
        <v>56</v>
      </c>
      <c r="F39" s="69"/>
      <c r="G39" s="71"/>
      <c r="H39" s="72"/>
      <c r="I39" s="73"/>
    </row>
    <row r="40" spans="2:9" ht="24.75" thickBot="1" x14ac:dyDescent="0.25">
      <c r="B40" s="68"/>
      <c r="C40" s="75"/>
      <c r="D40" s="75"/>
      <c r="E40" s="76" t="s">
        <v>57</v>
      </c>
      <c r="F40" s="75"/>
      <c r="G40" s="77"/>
      <c r="H40" s="78"/>
      <c r="I40" s="73"/>
    </row>
    <row r="41" spans="2:9" ht="15" thickBot="1" x14ac:dyDescent="0.25">
      <c r="B41" s="62">
        <f>1+MAX($B$3:B40)</f>
        <v>13</v>
      </c>
      <c r="C41" s="83">
        <v>944511811</v>
      </c>
      <c r="D41" s="63" t="s">
        <v>127</v>
      </c>
      <c r="E41" s="81" t="s">
        <v>237</v>
      </c>
      <c r="F41" s="65" t="s">
        <v>23</v>
      </c>
      <c r="G41" s="66">
        <f>G26</f>
        <v>220</v>
      </c>
      <c r="H41" s="125"/>
      <c r="I41" s="67">
        <f>G41*H41</f>
        <v>0</v>
      </c>
    </row>
    <row r="42" spans="2:9" ht="12" x14ac:dyDescent="0.2">
      <c r="B42" s="68"/>
      <c r="C42" s="69"/>
      <c r="D42" s="69"/>
      <c r="E42" s="70" t="s">
        <v>238</v>
      </c>
      <c r="F42" s="69"/>
      <c r="G42" s="71"/>
      <c r="H42" s="72"/>
      <c r="I42" s="73"/>
    </row>
    <row r="43" spans="2:9" ht="24.75" thickBot="1" x14ac:dyDescent="0.25">
      <c r="B43" s="68"/>
      <c r="C43" s="75"/>
      <c r="D43" s="75"/>
      <c r="E43" s="76" t="s">
        <v>239</v>
      </c>
      <c r="F43" s="75"/>
      <c r="G43" s="77"/>
      <c r="H43" s="78"/>
      <c r="I43" s="73"/>
    </row>
    <row r="44" spans="2:9" ht="24.75" thickBot="1" x14ac:dyDescent="0.25">
      <c r="B44" s="62">
        <f>1+MAX($B$3:B43)</f>
        <v>14</v>
      </c>
      <c r="C44" s="65">
        <v>981511117</v>
      </c>
      <c r="D44" s="63" t="s">
        <v>127</v>
      </c>
      <c r="E44" s="64" t="s">
        <v>297</v>
      </c>
      <c r="F44" s="65" t="s">
        <v>38</v>
      </c>
      <c r="G44" s="66">
        <f>CEILING((30*1),0.1)</f>
        <v>30</v>
      </c>
      <c r="H44" s="125"/>
      <c r="I44" s="67">
        <f>G44*H44</f>
        <v>0</v>
      </c>
    </row>
    <row r="45" spans="2:9" ht="14.25" x14ac:dyDescent="0.2">
      <c r="B45" s="68"/>
      <c r="C45" s="69"/>
      <c r="D45" s="69"/>
      <c r="E45" s="70" t="s">
        <v>258</v>
      </c>
      <c r="F45" s="69"/>
      <c r="G45" s="71"/>
      <c r="H45" s="72"/>
      <c r="I45" s="73"/>
    </row>
    <row r="46" spans="2:9" ht="36.75" thickBot="1" x14ac:dyDescent="0.25">
      <c r="B46" s="68"/>
      <c r="C46" s="69"/>
      <c r="D46" s="69"/>
      <c r="E46" s="88" t="s">
        <v>298</v>
      </c>
      <c r="F46" s="69"/>
      <c r="G46" s="71"/>
      <c r="H46" s="72"/>
      <c r="I46" s="73"/>
    </row>
    <row r="47" spans="2:9" ht="15" thickBot="1" x14ac:dyDescent="0.25">
      <c r="B47" s="62">
        <f>1+MAX($B$3:B46)</f>
        <v>15</v>
      </c>
      <c r="C47" s="63">
        <v>985222111</v>
      </c>
      <c r="D47" s="63" t="s">
        <v>127</v>
      </c>
      <c r="E47" s="64" t="s">
        <v>252</v>
      </c>
      <c r="F47" s="89" t="s">
        <v>38</v>
      </c>
      <c r="G47" s="66">
        <f>CEILING(0.3*G44,0.1)</f>
        <v>9</v>
      </c>
      <c r="H47" s="125"/>
      <c r="I47" s="67">
        <f>G47*H47</f>
        <v>0</v>
      </c>
    </row>
    <row r="48" spans="2:9" ht="14.25" x14ac:dyDescent="0.2">
      <c r="B48" s="68"/>
      <c r="C48" s="69"/>
      <c r="D48" s="69"/>
      <c r="E48" s="70" t="s">
        <v>253</v>
      </c>
      <c r="F48" s="69"/>
      <c r="G48" s="71"/>
      <c r="H48" s="72"/>
      <c r="I48" s="73"/>
    </row>
    <row r="49" spans="2:9" ht="24.75" thickBot="1" x14ac:dyDescent="0.25">
      <c r="B49" s="68"/>
      <c r="C49" s="75"/>
      <c r="D49" s="75"/>
      <c r="E49" s="76" t="s">
        <v>254</v>
      </c>
      <c r="F49" s="75"/>
      <c r="G49" s="90"/>
      <c r="H49" s="78"/>
      <c r="I49" s="73"/>
    </row>
    <row r="50" spans="2:9" ht="24.75" thickBot="1" x14ac:dyDescent="0.25">
      <c r="B50" s="62">
        <f>1+MAX($B$3:B49)</f>
        <v>16</v>
      </c>
      <c r="C50" s="63" t="s">
        <v>317</v>
      </c>
      <c r="D50" s="65" t="s">
        <v>75</v>
      </c>
      <c r="E50" s="64" t="s">
        <v>318</v>
      </c>
      <c r="F50" s="65" t="s">
        <v>46</v>
      </c>
      <c r="G50" s="66">
        <f>CEILING((((45+72)/3+2)*1.9*0.0195+(45+72)*1.8*0.00118)+(112*2.37*1.3*0.00118),0.01)</f>
        <v>2.1800000000000002</v>
      </c>
      <c r="H50" s="125"/>
      <c r="I50" s="67">
        <f>G50*H50</f>
        <v>0</v>
      </c>
    </row>
    <row r="51" spans="2:9" ht="40.5" x14ac:dyDescent="0.2">
      <c r="B51" s="68"/>
      <c r="C51" s="69"/>
      <c r="D51" s="69"/>
      <c r="E51" s="70" t="s">
        <v>319</v>
      </c>
      <c r="F51" s="69"/>
      <c r="G51" s="71"/>
      <c r="H51" s="72"/>
      <c r="I51" s="73"/>
    </row>
    <row r="52" spans="2:9" ht="84.75" thickBot="1" x14ac:dyDescent="0.25">
      <c r="B52" s="68"/>
      <c r="C52" s="75"/>
      <c r="D52" s="75"/>
      <c r="E52" s="76" t="s">
        <v>322</v>
      </c>
      <c r="F52" s="75"/>
      <c r="G52" s="77"/>
      <c r="H52" s="78"/>
      <c r="I52" s="73"/>
    </row>
    <row r="53" spans="2:9" ht="12.95" customHeight="1" thickBot="1" x14ac:dyDescent="0.25">
      <c r="B53" s="57"/>
      <c r="C53" s="58"/>
      <c r="D53" s="58"/>
      <c r="E53" s="59" t="s">
        <v>102</v>
      </c>
      <c r="F53" s="60"/>
      <c r="G53" s="60"/>
      <c r="H53" s="60"/>
      <c r="I53" s="61">
        <f>SUM(I54:I83)</f>
        <v>0</v>
      </c>
    </row>
    <row r="54" spans="2:9" ht="24" customHeight="1" thickBot="1" x14ac:dyDescent="0.25">
      <c r="B54" s="62">
        <f>1+MAX($B$3:B53)</f>
        <v>17</v>
      </c>
      <c r="C54" s="63">
        <v>112151112</v>
      </c>
      <c r="D54" s="63" t="s">
        <v>127</v>
      </c>
      <c r="E54" s="64" t="s">
        <v>51</v>
      </c>
      <c r="F54" s="65" t="s">
        <v>121</v>
      </c>
      <c r="G54" s="91">
        <f>11</f>
        <v>11</v>
      </c>
      <c r="H54" s="125"/>
      <c r="I54" s="67">
        <f>G54*H54</f>
        <v>0</v>
      </c>
    </row>
    <row r="55" spans="2:9" ht="12" x14ac:dyDescent="0.2">
      <c r="B55" s="68"/>
      <c r="C55" s="69"/>
      <c r="D55" s="69"/>
      <c r="E55" s="70" t="s">
        <v>341</v>
      </c>
      <c r="F55" s="69"/>
      <c r="G55" s="92"/>
      <c r="H55" s="72"/>
      <c r="I55" s="73"/>
    </row>
    <row r="56" spans="2:9" ht="48.75" thickBot="1" x14ac:dyDescent="0.25">
      <c r="B56" s="74"/>
      <c r="C56" s="75"/>
      <c r="D56" s="75"/>
      <c r="E56" s="76" t="s">
        <v>320</v>
      </c>
      <c r="F56" s="75"/>
      <c r="G56" s="90"/>
      <c r="H56" s="78"/>
      <c r="I56" s="79"/>
    </row>
    <row r="57" spans="2:9" ht="24.75" thickBot="1" x14ac:dyDescent="0.25">
      <c r="B57" s="62">
        <f>1+MAX($B$3:B56)</f>
        <v>18</v>
      </c>
      <c r="C57" s="63" t="s">
        <v>288</v>
      </c>
      <c r="D57" s="65" t="s">
        <v>75</v>
      </c>
      <c r="E57" s="64" t="s">
        <v>299</v>
      </c>
      <c r="F57" s="65" t="s">
        <v>121</v>
      </c>
      <c r="G57" s="91">
        <f>CEILING(G54*1,1)</f>
        <v>11</v>
      </c>
      <c r="H57" s="125"/>
      <c r="I57" s="67">
        <f>G57*H57</f>
        <v>0</v>
      </c>
    </row>
    <row r="58" spans="2:9" ht="12" x14ac:dyDescent="0.2">
      <c r="B58" s="68"/>
      <c r="C58" s="69"/>
      <c r="D58" s="69"/>
      <c r="E58" s="70" t="s">
        <v>255</v>
      </c>
      <c r="F58" s="69"/>
      <c r="G58" s="92"/>
      <c r="H58" s="72"/>
      <c r="I58" s="73"/>
    </row>
    <row r="59" spans="2:9" ht="48.75" thickBot="1" x14ac:dyDescent="0.25">
      <c r="B59" s="74"/>
      <c r="C59" s="75"/>
      <c r="D59" s="75"/>
      <c r="E59" s="76" t="s">
        <v>331</v>
      </c>
      <c r="F59" s="75"/>
      <c r="G59" s="90"/>
      <c r="H59" s="78"/>
      <c r="I59" s="79"/>
    </row>
    <row r="60" spans="2:9" ht="37.5" customHeight="1" thickBot="1" x14ac:dyDescent="0.25">
      <c r="B60" s="62">
        <f>1+MAX($B$3:B59)</f>
        <v>19</v>
      </c>
      <c r="C60" s="63">
        <v>155211112</v>
      </c>
      <c r="D60" s="63" t="s">
        <v>127</v>
      </c>
      <c r="E60" s="64" t="s">
        <v>80</v>
      </c>
      <c r="F60" s="65" t="s">
        <v>23</v>
      </c>
      <c r="G60" s="91">
        <f>CEILING(0.5*((262+1026)*2*1.3+(1191+200+24)*1.56*1.2+(1444)*2.67*1.3),1)</f>
        <v>5505</v>
      </c>
      <c r="H60" s="125"/>
      <c r="I60" s="67">
        <f>G60*H60</f>
        <v>0</v>
      </c>
    </row>
    <row r="61" spans="2:9" ht="42.75" x14ac:dyDescent="0.2">
      <c r="B61" s="68"/>
      <c r="C61" s="69"/>
      <c r="D61" s="69"/>
      <c r="E61" s="70" t="s">
        <v>266</v>
      </c>
      <c r="F61" s="69"/>
      <c r="G61" s="93"/>
      <c r="H61" s="72"/>
      <c r="I61" s="73"/>
    </row>
    <row r="62" spans="2:9" ht="50.25" customHeight="1" thickBot="1" x14ac:dyDescent="0.25">
      <c r="B62" s="74"/>
      <c r="C62" s="75"/>
      <c r="D62" s="75"/>
      <c r="E62" s="76" t="s">
        <v>321</v>
      </c>
      <c r="F62" s="75"/>
      <c r="G62" s="94"/>
      <c r="H62" s="78"/>
      <c r="I62" s="79"/>
    </row>
    <row r="63" spans="2:9" ht="24.75" thickBot="1" x14ac:dyDescent="0.25">
      <c r="B63" s="62">
        <f>1+MAX($B$3:B62)</f>
        <v>20</v>
      </c>
      <c r="C63" s="63" t="s">
        <v>289</v>
      </c>
      <c r="D63" s="65" t="s">
        <v>75</v>
      </c>
      <c r="E63" s="64" t="s">
        <v>345</v>
      </c>
      <c r="F63" s="65" t="s">
        <v>23</v>
      </c>
      <c r="G63" s="91">
        <f>G60</f>
        <v>5505</v>
      </c>
      <c r="H63" s="125"/>
      <c r="I63" s="67">
        <f>G63*H63</f>
        <v>0</v>
      </c>
    </row>
    <row r="64" spans="2:9" ht="12" x14ac:dyDescent="0.2">
      <c r="B64" s="68"/>
      <c r="C64" s="69"/>
      <c r="D64" s="69"/>
      <c r="E64" s="70" t="s">
        <v>58</v>
      </c>
      <c r="F64" s="69"/>
      <c r="G64" s="92"/>
      <c r="H64" s="72"/>
      <c r="I64" s="73"/>
    </row>
    <row r="65" spans="2:9" ht="36.75" thickBot="1" x14ac:dyDescent="0.25">
      <c r="B65" s="74"/>
      <c r="C65" s="75"/>
      <c r="D65" s="75"/>
      <c r="E65" s="76" t="s">
        <v>332</v>
      </c>
      <c r="F65" s="75"/>
      <c r="G65" s="90"/>
      <c r="H65" s="78"/>
      <c r="I65" s="79"/>
    </row>
    <row r="66" spans="2:9" ht="24.75" thickBot="1" x14ac:dyDescent="0.25">
      <c r="B66" s="62">
        <f>1+MAX($B$3:B65)</f>
        <v>21</v>
      </c>
      <c r="C66" s="65" t="s">
        <v>290</v>
      </c>
      <c r="D66" s="65" t="s">
        <v>75</v>
      </c>
      <c r="E66" s="81" t="s">
        <v>300</v>
      </c>
      <c r="F66" s="65" t="s">
        <v>38</v>
      </c>
      <c r="G66" s="66">
        <f>CEILING(0.4*((1789)*2*1.3+(241)*1.56*1.2+(80+102+1371)*2.67*1.3)*0.1,0.1)</f>
        <v>419.8</v>
      </c>
      <c r="H66" s="125"/>
      <c r="I66" s="67">
        <f>G66*H66</f>
        <v>0</v>
      </c>
    </row>
    <row r="67" spans="2:9" ht="42.75" x14ac:dyDescent="0.2">
      <c r="B67" s="68"/>
      <c r="C67" s="69"/>
      <c r="D67" s="69"/>
      <c r="E67" s="70" t="s">
        <v>267</v>
      </c>
      <c r="F67" s="69"/>
      <c r="G67" s="93"/>
      <c r="H67" s="72"/>
      <c r="I67" s="73"/>
    </row>
    <row r="68" spans="2:9" ht="61.5" customHeight="1" thickBot="1" x14ac:dyDescent="0.25">
      <c r="B68" s="74"/>
      <c r="C68" s="75"/>
      <c r="D68" s="75"/>
      <c r="E68" s="76" t="s">
        <v>333</v>
      </c>
      <c r="F68" s="75"/>
      <c r="G68" s="94"/>
      <c r="H68" s="78"/>
      <c r="I68" s="79"/>
    </row>
    <row r="69" spans="2:9" ht="26.1" customHeight="1" thickBot="1" x14ac:dyDescent="0.25">
      <c r="B69" s="62">
        <f>1+MAX($B$3:B68)</f>
        <v>22</v>
      </c>
      <c r="C69" s="65" t="s">
        <v>291</v>
      </c>
      <c r="D69" s="65" t="s">
        <v>75</v>
      </c>
      <c r="E69" s="81" t="s">
        <v>302</v>
      </c>
      <c r="F69" s="65" t="s">
        <v>38</v>
      </c>
      <c r="G69" s="66">
        <f>3.4+2.6+1.5+2</f>
        <v>9.5</v>
      </c>
      <c r="H69" s="125"/>
      <c r="I69" s="67">
        <f>G69*H69</f>
        <v>0</v>
      </c>
    </row>
    <row r="70" spans="2:9" ht="14.25" x14ac:dyDescent="0.2">
      <c r="B70" s="68"/>
      <c r="C70" s="69"/>
      <c r="D70" s="69"/>
      <c r="E70" s="70" t="s">
        <v>260</v>
      </c>
      <c r="F70" s="69"/>
      <c r="G70" s="92"/>
      <c r="H70" s="72"/>
      <c r="I70" s="73"/>
    </row>
    <row r="71" spans="2:9" ht="48.75" thickBot="1" x14ac:dyDescent="0.25">
      <c r="B71" s="74"/>
      <c r="C71" s="75"/>
      <c r="D71" s="75"/>
      <c r="E71" s="76" t="s">
        <v>308</v>
      </c>
      <c r="F71" s="75"/>
      <c r="G71" s="90"/>
      <c r="H71" s="78"/>
      <c r="I71" s="79"/>
    </row>
    <row r="72" spans="2:9" ht="29.25" customHeight="1" thickBot="1" x14ac:dyDescent="0.25">
      <c r="B72" s="62">
        <f>1+MAX($B$3:B71)</f>
        <v>23</v>
      </c>
      <c r="C72" s="65" t="s">
        <v>292</v>
      </c>
      <c r="D72" s="65" t="s">
        <v>75</v>
      </c>
      <c r="E72" s="81" t="s">
        <v>303</v>
      </c>
      <c r="F72" s="65" t="s">
        <v>38</v>
      </c>
      <c r="G72" s="66">
        <f>CEILING((29+5+8+15)*0.9*0.5,0.1)</f>
        <v>25.700000000000003</v>
      </c>
      <c r="H72" s="125"/>
      <c r="I72" s="67">
        <f>G72*H72</f>
        <v>0</v>
      </c>
    </row>
    <row r="73" spans="2:9" ht="14.25" x14ac:dyDescent="0.2">
      <c r="B73" s="68"/>
      <c r="C73" s="69"/>
      <c r="D73" s="69"/>
      <c r="E73" s="70" t="s">
        <v>261</v>
      </c>
      <c r="F73" s="69"/>
      <c r="G73" s="92"/>
      <c r="H73" s="72"/>
      <c r="I73" s="73"/>
    </row>
    <row r="74" spans="2:9" ht="48.75" thickBot="1" x14ac:dyDescent="0.25">
      <c r="B74" s="74"/>
      <c r="C74" s="75"/>
      <c r="D74" s="75"/>
      <c r="E74" s="76" t="s">
        <v>309</v>
      </c>
      <c r="F74" s="75"/>
      <c r="G74" s="90"/>
      <c r="H74" s="78"/>
      <c r="I74" s="79"/>
    </row>
    <row r="75" spans="2:9" ht="15" customHeight="1" thickBot="1" x14ac:dyDescent="0.25">
      <c r="B75" s="62">
        <f>1+MAX($B$3:B74)</f>
        <v>24</v>
      </c>
      <c r="C75" s="63" t="s">
        <v>271</v>
      </c>
      <c r="D75" s="65" t="s">
        <v>75</v>
      </c>
      <c r="E75" s="64" t="s">
        <v>304</v>
      </c>
      <c r="F75" s="89" t="s">
        <v>38</v>
      </c>
      <c r="G75" s="66">
        <f>CEILING((35+177)*0.8*0.5,0.1)</f>
        <v>84.800000000000011</v>
      </c>
      <c r="H75" s="125"/>
      <c r="I75" s="67">
        <f>G75*H75</f>
        <v>0</v>
      </c>
    </row>
    <row r="76" spans="2:9" ht="26.25" x14ac:dyDescent="0.2">
      <c r="B76" s="68"/>
      <c r="C76" s="69"/>
      <c r="D76" s="69"/>
      <c r="E76" s="70" t="s">
        <v>256</v>
      </c>
      <c r="F76" s="69"/>
      <c r="G76" s="93"/>
      <c r="H76" s="72"/>
      <c r="I76" s="73"/>
    </row>
    <row r="77" spans="2:9" ht="48.75" thickBot="1" x14ac:dyDescent="0.25">
      <c r="B77" s="74"/>
      <c r="C77" s="75"/>
      <c r="D77" s="75"/>
      <c r="E77" s="76" t="s">
        <v>334</v>
      </c>
      <c r="F77" s="75"/>
      <c r="G77" s="90"/>
      <c r="H77" s="78"/>
      <c r="I77" s="79"/>
    </row>
    <row r="78" spans="2:9" ht="27" thickBot="1" x14ac:dyDescent="0.25">
      <c r="B78" s="62">
        <f>1+MAX($B$3:B77)</f>
        <v>25</v>
      </c>
      <c r="C78" s="63" t="s">
        <v>293</v>
      </c>
      <c r="D78" s="65" t="s">
        <v>75</v>
      </c>
      <c r="E78" s="64" t="s">
        <v>301</v>
      </c>
      <c r="F78" s="89" t="s">
        <v>38</v>
      </c>
      <c r="G78" s="66">
        <f>CEILING((24*0.8+148*1.7+9*0.8)*0.8,0.1)</f>
        <v>222.4</v>
      </c>
      <c r="H78" s="125"/>
      <c r="I78" s="67">
        <f>G78*H78</f>
        <v>0</v>
      </c>
    </row>
    <row r="79" spans="2:9" ht="26.25" x14ac:dyDescent="0.2">
      <c r="B79" s="68"/>
      <c r="C79" s="69"/>
      <c r="D79" s="69"/>
      <c r="E79" s="70" t="s">
        <v>257</v>
      </c>
      <c r="F79" s="69"/>
      <c r="G79" s="92"/>
      <c r="H79" s="72"/>
      <c r="I79" s="73"/>
    </row>
    <row r="80" spans="2:9" ht="48.75" thickBot="1" x14ac:dyDescent="0.25">
      <c r="B80" s="74"/>
      <c r="C80" s="75"/>
      <c r="D80" s="75"/>
      <c r="E80" s="76" t="s">
        <v>335</v>
      </c>
      <c r="F80" s="75"/>
      <c r="G80" s="90"/>
      <c r="H80" s="78"/>
      <c r="I80" s="79"/>
    </row>
    <row r="81" spans="2:9" ht="24.75" thickBot="1" x14ac:dyDescent="0.25">
      <c r="B81" s="62">
        <f>1+MAX($B$3:B80)</f>
        <v>26</v>
      </c>
      <c r="C81" s="63" t="s">
        <v>271</v>
      </c>
      <c r="D81" s="65" t="s">
        <v>75</v>
      </c>
      <c r="E81" s="64" t="s">
        <v>305</v>
      </c>
      <c r="F81" s="89" t="s">
        <v>38</v>
      </c>
      <c r="G81" s="66">
        <f>CEILING((44+66)*0.9*0.5,0.1)</f>
        <v>49.5</v>
      </c>
      <c r="H81" s="125"/>
      <c r="I81" s="67">
        <f>G81*H81</f>
        <v>0</v>
      </c>
    </row>
    <row r="82" spans="2:9" ht="26.25" x14ac:dyDescent="0.2">
      <c r="B82" s="68"/>
      <c r="C82" s="69"/>
      <c r="D82" s="69"/>
      <c r="E82" s="70" t="s">
        <v>259</v>
      </c>
      <c r="F82" s="69"/>
      <c r="G82" s="93"/>
      <c r="H82" s="72"/>
      <c r="I82" s="73"/>
    </row>
    <row r="83" spans="2:9" ht="48.75" thickBot="1" x14ac:dyDescent="0.25">
      <c r="B83" s="74"/>
      <c r="C83" s="75"/>
      <c r="D83" s="75"/>
      <c r="E83" s="76" t="s">
        <v>336</v>
      </c>
      <c r="F83" s="75"/>
      <c r="G83" s="90"/>
      <c r="H83" s="78"/>
      <c r="I83" s="79"/>
    </row>
    <row r="84" spans="2:9" ht="12.95" customHeight="1" thickBot="1" x14ac:dyDescent="0.25">
      <c r="B84" s="57"/>
      <c r="C84" s="58"/>
      <c r="D84" s="58"/>
      <c r="E84" s="59" t="s">
        <v>32</v>
      </c>
      <c r="F84" s="60"/>
      <c r="G84" s="60"/>
      <c r="H84" s="60"/>
      <c r="I84" s="61">
        <f>SUM(I85:I99)</f>
        <v>0</v>
      </c>
    </row>
    <row r="85" spans="2:9" ht="24.75" thickBot="1" x14ac:dyDescent="0.25">
      <c r="B85" s="62">
        <f>1+MAX($B$3:B84)</f>
        <v>27</v>
      </c>
      <c r="C85" s="63">
        <v>155212116</v>
      </c>
      <c r="D85" s="63" t="s">
        <v>127</v>
      </c>
      <c r="E85" s="64" t="s">
        <v>110</v>
      </c>
      <c r="F85" s="89" t="s">
        <v>8</v>
      </c>
      <c r="G85" s="66">
        <f>G88*3</f>
        <v>36</v>
      </c>
      <c r="H85" s="125"/>
      <c r="I85" s="67">
        <f>G85*H85</f>
        <v>0</v>
      </c>
    </row>
    <row r="86" spans="2:9" ht="12" x14ac:dyDescent="0.2">
      <c r="B86" s="68"/>
      <c r="C86" s="69"/>
      <c r="D86" s="69"/>
      <c r="E86" s="70" t="s">
        <v>115</v>
      </c>
      <c r="F86" s="69"/>
      <c r="G86" s="92"/>
      <c r="H86" s="72"/>
      <c r="I86" s="73"/>
    </row>
    <row r="87" spans="2:9" ht="36.75" thickBot="1" x14ac:dyDescent="0.25">
      <c r="B87" s="74"/>
      <c r="C87" s="75"/>
      <c r="D87" s="75"/>
      <c r="E87" s="76" t="s">
        <v>134</v>
      </c>
      <c r="F87" s="75"/>
      <c r="G87" s="90"/>
      <c r="H87" s="78"/>
      <c r="I87" s="79"/>
    </row>
    <row r="88" spans="2:9" ht="26.1" customHeight="1" thickBot="1" x14ac:dyDescent="0.25">
      <c r="B88" s="62">
        <f>1+MAX($B$3:B87)</f>
        <v>28</v>
      </c>
      <c r="C88" s="95">
        <v>155213113</v>
      </c>
      <c r="D88" s="63" t="s">
        <v>127</v>
      </c>
      <c r="E88" s="82" t="s">
        <v>111</v>
      </c>
      <c r="F88" s="87" t="s">
        <v>121</v>
      </c>
      <c r="G88" s="96">
        <f>12</f>
        <v>12</v>
      </c>
      <c r="H88" s="125"/>
      <c r="I88" s="67">
        <f>G88*H88</f>
        <v>0</v>
      </c>
    </row>
    <row r="89" spans="2:9" ht="12" x14ac:dyDescent="0.2">
      <c r="B89" s="68"/>
      <c r="C89" s="69"/>
      <c r="D89" s="69"/>
      <c r="E89" s="70" t="s">
        <v>133</v>
      </c>
      <c r="F89" s="69"/>
      <c r="G89" s="92"/>
      <c r="H89" s="72"/>
      <c r="I89" s="73"/>
    </row>
    <row r="90" spans="2:9" ht="24.75" thickBot="1" x14ac:dyDescent="0.25">
      <c r="B90" s="74"/>
      <c r="C90" s="75"/>
      <c r="D90" s="75"/>
      <c r="E90" s="76" t="s">
        <v>148</v>
      </c>
      <c r="F90" s="75"/>
      <c r="G90" s="90"/>
      <c r="H90" s="78"/>
      <c r="I90" s="79"/>
    </row>
    <row r="91" spans="2:9" ht="12.95" customHeight="1" thickBot="1" x14ac:dyDescent="0.25">
      <c r="B91" s="62">
        <f>1+MAX($B$3:B90)</f>
        <v>29</v>
      </c>
      <c r="C91" s="65">
        <v>789321110</v>
      </c>
      <c r="D91" s="63" t="s">
        <v>127</v>
      </c>
      <c r="E91" s="81" t="s">
        <v>49</v>
      </c>
      <c r="F91" s="65" t="s">
        <v>23</v>
      </c>
      <c r="G91" s="66">
        <f>CEILING((((2*(PI()*(0.028^2)/4))+(PI()*0.028))*1.3*3*G88+((2*0.2*0.2+4*0.2*0.01)*G88))*1.2,1)</f>
        <v>7</v>
      </c>
      <c r="H91" s="125"/>
      <c r="I91" s="67">
        <f>G91*H91</f>
        <v>0</v>
      </c>
    </row>
    <row r="92" spans="2:9" ht="26.25" x14ac:dyDescent="0.2">
      <c r="B92" s="68"/>
      <c r="C92" s="69"/>
      <c r="D92" s="69"/>
      <c r="E92" s="70" t="s">
        <v>149</v>
      </c>
      <c r="F92" s="69"/>
      <c r="G92" s="97"/>
      <c r="H92" s="72"/>
      <c r="I92" s="73"/>
    </row>
    <row r="93" spans="2:9" ht="39" thickBot="1" x14ac:dyDescent="0.25">
      <c r="B93" s="74"/>
      <c r="C93" s="75"/>
      <c r="D93" s="75"/>
      <c r="E93" s="76" t="s">
        <v>87</v>
      </c>
      <c r="F93" s="75"/>
      <c r="G93" s="90"/>
      <c r="H93" s="78"/>
      <c r="I93" s="79"/>
    </row>
    <row r="94" spans="2:9" ht="15" thickBot="1" x14ac:dyDescent="0.25">
      <c r="B94" s="62">
        <f>1+MAX($B$3:B93)</f>
        <v>30</v>
      </c>
      <c r="C94" s="65">
        <v>789321120</v>
      </c>
      <c r="D94" s="63" t="s">
        <v>127</v>
      </c>
      <c r="E94" s="81" t="s">
        <v>34</v>
      </c>
      <c r="F94" s="87" t="s">
        <v>23</v>
      </c>
      <c r="G94" s="91">
        <f>CEILING((((2*(PI()*(0.028^2)/4))+(PI()*0.028))*1.3*0.4*G88+((2*0.2*0.2+4*0.2*0.01)*G88))*2*1.2,1)</f>
        <v>4</v>
      </c>
      <c r="H94" s="125"/>
      <c r="I94" s="67">
        <f>G94*H94</f>
        <v>0</v>
      </c>
    </row>
    <row r="95" spans="2:9" ht="26.25" x14ac:dyDescent="0.2">
      <c r="B95" s="68"/>
      <c r="C95" s="69"/>
      <c r="D95" s="69"/>
      <c r="E95" s="70" t="s">
        <v>114</v>
      </c>
      <c r="F95" s="69"/>
      <c r="G95" s="92"/>
      <c r="H95" s="72"/>
      <c r="I95" s="73"/>
    </row>
    <row r="96" spans="2:9" ht="36.75" thickBot="1" x14ac:dyDescent="0.25">
      <c r="B96" s="74"/>
      <c r="C96" s="75"/>
      <c r="D96" s="75"/>
      <c r="E96" s="76" t="s">
        <v>135</v>
      </c>
      <c r="F96" s="75"/>
      <c r="G96" s="90"/>
      <c r="H96" s="78"/>
      <c r="I96" s="79"/>
    </row>
    <row r="97" spans="2:9" thickBot="1" x14ac:dyDescent="0.25">
      <c r="B97" s="62">
        <f>1+MAX($B$3:B96)</f>
        <v>31</v>
      </c>
      <c r="C97" s="65">
        <v>281604111</v>
      </c>
      <c r="D97" s="63" t="s">
        <v>127</v>
      </c>
      <c r="E97" s="81" t="s">
        <v>112</v>
      </c>
      <c r="F97" s="87" t="s">
        <v>9</v>
      </c>
      <c r="G97" s="91">
        <f>CEILING(G85*0.2,0.1)</f>
        <v>7.2</v>
      </c>
      <c r="H97" s="125"/>
      <c r="I97" s="67">
        <f>G97*H97</f>
        <v>0</v>
      </c>
    </row>
    <row r="98" spans="2:9" ht="12" x14ac:dyDescent="0.2">
      <c r="B98" s="68"/>
      <c r="C98" s="69"/>
      <c r="D98" s="69"/>
      <c r="E98" s="70" t="s">
        <v>113</v>
      </c>
      <c r="F98" s="69"/>
      <c r="G98" s="92"/>
      <c r="H98" s="72"/>
      <c r="I98" s="73"/>
    </row>
    <row r="99" spans="2:9" ht="24.75" thickBot="1" x14ac:dyDescent="0.25">
      <c r="B99" s="74"/>
      <c r="C99" s="75"/>
      <c r="D99" s="75"/>
      <c r="E99" s="76" t="s">
        <v>59</v>
      </c>
      <c r="F99" s="75"/>
      <c r="G99" s="90"/>
      <c r="H99" s="78"/>
      <c r="I99" s="79"/>
    </row>
    <row r="100" spans="2:9" ht="13.5" thickBot="1" x14ac:dyDescent="0.25">
      <c r="B100" s="57"/>
      <c r="C100" s="58"/>
      <c r="D100" s="58"/>
      <c r="E100" s="59" t="s">
        <v>132</v>
      </c>
      <c r="F100" s="60"/>
      <c r="G100" s="60"/>
      <c r="H100" s="60"/>
      <c r="I100" s="61">
        <f>SUM(I101:I130)</f>
        <v>0</v>
      </c>
    </row>
    <row r="101" spans="2:9" ht="24.75" thickBot="1" x14ac:dyDescent="0.25">
      <c r="B101" s="62">
        <f>1+MAX($B$3:B100)</f>
        <v>32</v>
      </c>
      <c r="C101" s="65" t="s">
        <v>306</v>
      </c>
      <c r="D101" s="65" t="s">
        <v>75</v>
      </c>
      <c r="E101" s="81" t="s">
        <v>307</v>
      </c>
      <c r="F101" s="65" t="s">
        <v>38</v>
      </c>
      <c r="G101" s="91">
        <f>CEILING(0.8*0.5*(15)*1.2,0.1)</f>
        <v>7.2</v>
      </c>
      <c r="H101" s="125"/>
      <c r="I101" s="67">
        <f>G101*H101</f>
        <v>0</v>
      </c>
    </row>
    <row r="102" spans="2:9" ht="21.75" customHeight="1" x14ac:dyDescent="0.2">
      <c r="B102" s="68"/>
      <c r="C102" s="69"/>
      <c r="D102" s="69"/>
      <c r="E102" s="98" t="s">
        <v>141</v>
      </c>
      <c r="F102" s="69"/>
      <c r="G102" s="92"/>
      <c r="H102" s="72"/>
      <c r="I102" s="73"/>
    </row>
    <row r="103" spans="2:9" ht="45.75" thickBot="1" x14ac:dyDescent="0.25">
      <c r="B103" s="74"/>
      <c r="C103" s="75"/>
      <c r="D103" s="75"/>
      <c r="E103" s="99" t="s">
        <v>337</v>
      </c>
      <c r="F103" s="75"/>
      <c r="G103" s="90"/>
      <c r="H103" s="78"/>
      <c r="I103" s="79"/>
    </row>
    <row r="104" spans="2:9" ht="24.75" thickBot="1" x14ac:dyDescent="0.25">
      <c r="B104" s="62">
        <f>1+MAX($B$3:B103)</f>
        <v>33</v>
      </c>
      <c r="C104" s="65">
        <v>275311127</v>
      </c>
      <c r="D104" s="63" t="s">
        <v>127</v>
      </c>
      <c r="E104" s="81" t="s">
        <v>48</v>
      </c>
      <c r="F104" s="65" t="s">
        <v>38</v>
      </c>
      <c r="G104" s="91">
        <f>G101</f>
        <v>7.2</v>
      </c>
      <c r="H104" s="125"/>
      <c r="I104" s="67">
        <f>G104*H104</f>
        <v>0</v>
      </c>
    </row>
    <row r="105" spans="2:9" ht="12" x14ac:dyDescent="0.2">
      <c r="B105" s="68"/>
      <c r="C105" s="69"/>
      <c r="D105" s="69"/>
      <c r="E105" s="98" t="s">
        <v>82</v>
      </c>
      <c r="F105" s="69"/>
      <c r="G105" s="92"/>
      <c r="H105" s="72"/>
      <c r="I105" s="73"/>
    </row>
    <row r="106" spans="2:9" ht="36.75" customHeight="1" thickBot="1" x14ac:dyDescent="0.25">
      <c r="B106" s="74"/>
      <c r="C106" s="75"/>
      <c r="D106" s="75"/>
      <c r="E106" s="99" t="s">
        <v>142</v>
      </c>
      <c r="F106" s="75"/>
      <c r="G106" s="90"/>
      <c r="H106" s="78"/>
      <c r="I106" s="79"/>
    </row>
    <row r="107" spans="2:9" ht="27.95" customHeight="1" thickBot="1" x14ac:dyDescent="0.25">
      <c r="B107" s="62">
        <f>1+MAX($B$3:B106)</f>
        <v>34</v>
      </c>
      <c r="C107" s="65">
        <v>327213113</v>
      </c>
      <c r="D107" s="63" t="s">
        <v>127</v>
      </c>
      <c r="E107" s="81" t="s">
        <v>145</v>
      </c>
      <c r="F107" s="65" t="s">
        <v>38</v>
      </c>
      <c r="G107" s="91">
        <f>CEILING((15.5*2.4)*1.05,0.1)</f>
        <v>39.1</v>
      </c>
      <c r="H107" s="125"/>
      <c r="I107" s="67">
        <f>G107*H107</f>
        <v>0</v>
      </c>
    </row>
    <row r="108" spans="2:9" ht="12" x14ac:dyDescent="0.2">
      <c r="B108" s="68"/>
      <c r="C108" s="69"/>
      <c r="D108" s="69"/>
      <c r="E108" s="98" t="s">
        <v>154</v>
      </c>
      <c r="F108" s="69"/>
      <c r="G108" s="92"/>
      <c r="H108" s="72"/>
      <c r="I108" s="73"/>
    </row>
    <row r="109" spans="2:9" ht="35.1" customHeight="1" thickBot="1" x14ac:dyDescent="0.25">
      <c r="B109" s="74"/>
      <c r="C109" s="75"/>
      <c r="D109" s="75"/>
      <c r="E109" s="99" t="s">
        <v>312</v>
      </c>
      <c r="F109" s="75"/>
      <c r="G109" s="90"/>
      <c r="H109" s="78"/>
      <c r="I109" s="79"/>
    </row>
    <row r="110" spans="2:9" ht="15" thickBot="1" x14ac:dyDescent="0.25">
      <c r="B110" s="62">
        <f>1+MAX($B$3:B109)</f>
        <v>35</v>
      </c>
      <c r="C110" s="65">
        <v>311213911</v>
      </c>
      <c r="D110" s="63" t="s">
        <v>127</v>
      </c>
      <c r="E110" s="81" t="s">
        <v>136</v>
      </c>
      <c r="F110" s="65" t="s">
        <v>38</v>
      </c>
      <c r="G110" s="91">
        <f>CEILING((15*2.4)*0.3,0.1)</f>
        <v>10.8</v>
      </c>
      <c r="H110" s="125"/>
      <c r="I110" s="67">
        <f>G110*H110</f>
        <v>0</v>
      </c>
    </row>
    <row r="111" spans="2:9" ht="12" x14ac:dyDescent="0.2">
      <c r="B111" s="68"/>
      <c r="C111" s="69"/>
      <c r="D111" s="69"/>
      <c r="E111" s="98" t="s">
        <v>155</v>
      </c>
      <c r="F111" s="69"/>
      <c r="G111" s="93"/>
      <c r="H111" s="72"/>
      <c r="I111" s="73"/>
    </row>
    <row r="112" spans="2:9" thickBot="1" x14ac:dyDescent="0.25">
      <c r="B112" s="74"/>
      <c r="C112" s="75"/>
      <c r="D112" s="75"/>
      <c r="E112" s="99" t="s">
        <v>143</v>
      </c>
      <c r="F112" s="75"/>
      <c r="G112" s="90"/>
      <c r="H112" s="78"/>
      <c r="I112" s="79"/>
    </row>
    <row r="113" spans="2:9" ht="24.75" thickBot="1" x14ac:dyDescent="0.25">
      <c r="B113" s="62">
        <f>1+MAX($B$3:B112)</f>
        <v>36</v>
      </c>
      <c r="C113" s="65">
        <v>221211114</v>
      </c>
      <c r="D113" s="63" t="s">
        <v>127</v>
      </c>
      <c r="E113" s="81" t="s">
        <v>137</v>
      </c>
      <c r="F113" s="87" t="s">
        <v>8</v>
      </c>
      <c r="G113" s="91">
        <f>CEILING(G116*0.3,1)</f>
        <v>22</v>
      </c>
      <c r="H113" s="125"/>
      <c r="I113" s="67">
        <f>G113*H113</f>
        <v>0</v>
      </c>
    </row>
    <row r="114" spans="2:9" ht="12" x14ac:dyDescent="0.2">
      <c r="B114" s="68"/>
      <c r="C114" s="69"/>
      <c r="D114" s="69"/>
      <c r="E114" s="98" t="s">
        <v>144</v>
      </c>
      <c r="F114" s="69"/>
      <c r="G114" s="92"/>
      <c r="H114" s="72"/>
      <c r="I114" s="73"/>
    </row>
    <row r="115" spans="2:9" ht="35.1" customHeight="1" thickBot="1" x14ac:dyDescent="0.25">
      <c r="B115" s="74"/>
      <c r="C115" s="75"/>
      <c r="D115" s="75"/>
      <c r="E115" s="99" t="s">
        <v>146</v>
      </c>
      <c r="F115" s="75"/>
      <c r="G115" s="90"/>
      <c r="H115" s="78"/>
      <c r="I115" s="79"/>
    </row>
    <row r="116" spans="2:9" ht="15" customHeight="1" thickBot="1" x14ac:dyDescent="0.25">
      <c r="B116" s="62">
        <f>1+MAX($B$3:B115)</f>
        <v>37</v>
      </c>
      <c r="C116" s="65">
        <v>153812121</v>
      </c>
      <c r="D116" s="63" t="s">
        <v>127</v>
      </c>
      <c r="E116" s="81" t="s">
        <v>138</v>
      </c>
      <c r="F116" s="87" t="s">
        <v>121</v>
      </c>
      <c r="G116" s="91">
        <f>CEILING(0.8*(15)*6,1)</f>
        <v>72</v>
      </c>
      <c r="H116" s="125"/>
      <c r="I116" s="67">
        <f>G116*H116</f>
        <v>0</v>
      </c>
    </row>
    <row r="117" spans="2:9" ht="12" x14ac:dyDescent="0.2">
      <c r="B117" s="68"/>
      <c r="C117" s="69"/>
      <c r="D117" s="69"/>
      <c r="E117" s="98" t="s">
        <v>147</v>
      </c>
      <c r="F117" s="69"/>
      <c r="G117" s="92"/>
      <c r="H117" s="72"/>
      <c r="I117" s="73"/>
    </row>
    <row r="118" spans="2:9" ht="23.25" thickBot="1" x14ac:dyDescent="0.25">
      <c r="B118" s="74"/>
      <c r="C118" s="75"/>
      <c r="D118" s="75"/>
      <c r="E118" s="99" t="s">
        <v>150</v>
      </c>
      <c r="F118" s="75"/>
      <c r="G118" s="90"/>
      <c r="H118" s="78"/>
      <c r="I118" s="79"/>
    </row>
    <row r="119" spans="2:9" ht="24.75" thickBot="1" x14ac:dyDescent="0.25">
      <c r="B119" s="62">
        <f>1+MAX($B$3:B118)</f>
        <v>38</v>
      </c>
      <c r="C119" s="65">
        <v>155213611</v>
      </c>
      <c r="D119" s="63" t="s">
        <v>127</v>
      </c>
      <c r="E119" s="64" t="s">
        <v>54</v>
      </c>
      <c r="F119" s="87" t="s">
        <v>121</v>
      </c>
      <c r="G119" s="91">
        <f>CEILING((15*2.4)/(1.5*1.5)*1.2,1)</f>
        <v>20</v>
      </c>
      <c r="H119" s="125"/>
      <c r="I119" s="67">
        <f>G119*H119</f>
        <v>0</v>
      </c>
    </row>
    <row r="120" spans="2:9" ht="24.75" customHeight="1" x14ac:dyDescent="0.2">
      <c r="B120" s="68"/>
      <c r="C120" s="69"/>
      <c r="D120" s="69"/>
      <c r="E120" s="98" t="s">
        <v>156</v>
      </c>
      <c r="F120" s="69"/>
      <c r="G120" s="92"/>
      <c r="H120" s="72"/>
      <c r="I120" s="73"/>
    </row>
    <row r="121" spans="2:9" ht="34.5" thickBot="1" x14ac:dyDescent="0.25">
      <c r="B121" s="74"/>
      <c r="C121" s="75"/>
      <c r="D121" s="75"/>
      <c r="E121" s="99" t="s">
        <v>151</v>
      </c>
      <c r="F121" s="75"/>
      <c r="G121" s="90"/>
      <c r="H121" s="78"/>
      <c r="I121" s="79"/>
    </row>
    <row r="122" spans="2:9" ht="15" thickBot="1" x14ac:dyDescent="0.25">
      <c r="B122" s="62">
        <f>1+MAX($B$3:B121)</f>
        <v>39</v>
      </c>
      <c r="C122" s="65">
        <v>789321110</v>
      </c>
      <c r="D122" s="63" t="s">
        <v>127</v>
      </c>
      <c r="E122" s="81" t="s">
        <v>49</v>
      </c>
      <c r="F122" s="65" t="s">
        <v>23</v>
      </c>
      <c r="G122" s="66">
        <f>CEILING((((2*(PI()*(0.025^2)/4))+(PI()*0.025))*1.3*0.6*G116+((2*(PI()*(0.032^2)/4))+(PI()*0.032))*1.3*2*G119+((2*0.15*0.15+4*0.15*0.008)*G119))*1.2,1)</f>
        <v>13</v>
      </c>
      <c r="H122" s="125"/>
      <c r="I122" s="67">
        <f>G122*H122</f>
        <v>0</v>
      </c>
    </row>
    <row r="123" spans="2:9" ht="38.25" x14ac:dyDescent="0.2">
      <c r="B123" s="68"/>
      <c r="C123" s="69"/>
      <c r="D123" s="69"/>
      <c r="E123" s="70" t="s">
        <v>152</v>
      </c>
      <c r="F123" s="69"/>
      <c r="G123" s="97"/>
      <c r="H123" s="72"/>
      <c r="I123" s="73"/>
    </row>
    <row r="124" spans="2:9" ht="39" thickBot="1" x14ac:dyDescent="0.25">
      <c r="B124" s="74"/>
      <c r="C124" s="75"/>
      <c r="D124" s="75"/>
      <c r="E124" s="76" t="s">
        <v>87</v>
      </c>
      <c r="F124" s="75"/>
      <c r="G124" s="90"/>
      <c r="H124" s="78"/>
      <c r="I124" s="79"/>
    </row>
    <row r="125" spans="2:9" ht="15" thickBot="1" x14ac:dyDescent="0.25">
      <c r="B125" s="62">
        <f>1+MAX($B$3:B124)</f>
        <v>40</v>
      </c>
      <c r="C125" s="65">
        <v>789321120</v>
      </c>
      <c r="D125" s="63" t="s">
        <v>127</v>
      </c>
      <c r="E125" s="81" t="s">
        <v>34</v>
      </c>
      <c r="F125" s="87" t="s">
        <v>23</v>
      </c>
      <c r="G125" s="91">
        <f>CEILING((((2*(PI()*(0.025^2)/4))+(PI()*0.025))*1.3*0.6*G116+((2*(PI()*(0.032^2)/4))+(PI()*0.032))*1.3*1.2*G119+((2*0.15*0.15+4*0.15*0.008)*G119))*2*1.2,1)</f>
        <v>21</v>
      </c>
      <c r="H125" s="125"/>
      <c r="I125" s="67">
        <f>G125*H125</f>
        <v>0</v>
      </c>
    </row>
    <row r="126" spans="2:9" ht="38.25" x14ac:dyDescent="0.2">
      <c r="B126" s="68"/>
      <c r="C126" s="69"/>
      <c r="D126" s="69"/>
      <c r="E126" s="70" t="s">
        <v>153</v>
      </c>
      <c r="F126" s="69"/>
      <c r="G126" s="92"/>
      <c r="H126" s="72"/>
      <c r="I126" s="73"/>
    </row>
    <row r="127" spans="2:9" ht="36.75" thickBot="1" x14ac:dyDescent="0.25">
      <c r="B127" s="74"/>
      <c r="C127" s="75"/>
      <c r="D127" s="75"/>
      <c r="E127" s="76" t="s">
        <v>135</v>
      </c>
      <c r="F127" s="75"/>
      <c r="G127" s="90"/>
      <c r="H127" s="78"/>
      <c r="I127" s="79"/>
    </row>
    <row r="128" spans="2:9" ht="27.75" customHeight="1" thickBot="1" x14ac:dyDescent="0.25">
      <c r="B128" s="62">
        <f>1+MAX($B$3:B127)</f>
        <v>41</v>
      </c>
      <c r="C128" s="65">
        <v>628631211</v>
      </c>
      <c r="D128" s="63" t="s">
        <v>127</v>
      </c>
      <c r="E128" s="81" t="s">
        <v>139</v>
      </c>
      <c r="F128" s="87" t="s">
        <v>23</v>
      </c>
      <c r="G128" s="91">
        <f>CEILING((15*2.4)*1.2,1)</f>
        <v>44</v>
      </c>
      <c r="H128" s="125"/>
      <c r="I128" s="67">
        <f>G128*H128</f>
        <v>0</v>
      </c>
    </row>
    <row r="129" spans="2:9" ht="14.25" x14ac:dyDescent="0.2">
      <c r="B129" s="68"/>
      <c r="C129" s="69"/>
      <c r="D129" s="69"/>
      <c r="E129" s="70" t="s">
        <v>157</v>
      </c>
      <c r="F129" s="69"/>
      <c r="G129" s="92"/>
      <c r="H129" s="72"/>
      <c r="I129" s="73"/>
    </row>
    <row r="130" spans="2:9" ht="24.75" thickBot="1" x14ac:dyDescent="0.25">
      <c r="B130" s="74"/>
      <c r="C130" s="75"/>
      <c r="D130" s="75"/>
      <c r="E130" s="76" t="s">
        <v>140</v>
      </c>
      <c r="F130" s="75"/>
      <c r="G130" s="90"/>
      <c r="H130" s="78"/>
      <c r="I130" s="79"/>
    </row>
    <row r="131" spans="2:9" ht="12.95" customHeight="1" thickBot="1" x14ac:dyDescent="0.25">
      <c r="B131" s="57"/>
      <c r="C131" s="58"/>
      <c r="D131" s="58"/>
      <c r="E131" s="100" t="s">
        <v>167</v>
      </c>
      <c r="F131" s="58"/>
      <c r="G131" s="58"/>
      <c r="H131" s="101"/>
      <c r="I131" s="61">
        <f>SUM(I132:I170)</f>
        <v>0</v>
      </c>
    </row>
    <row r="132" spans="2:9" ht="26.1" customHeight="1" thickBot="1" x14ac:dyDescent="0.25">
      <c r="B132" s="62">
        <f>1+MAX($B$3:B131)</f>
        <v>42</v>
      </c>
      <c r="C132" s="95">
        <v>155213612</v>
      </c>
      <c r="D132" s="63" t="s">
        <v>127</v>
      </c>
      <c r="E132" s="64" t="s">
        <v>262</v>
      </c>
      <c r="F132" s="87" t="s">
        <v>121</v>
      </c>
      <c r="G132" s="96">
        <f>CEILING(((10+10+15+15+20+20+13+8+4+6+6+41+41+12+3)*1.2/3+15)+((3+3+3+3+3+3+6+6+3+4+7+5+4+14+14)*1.2/2+15)+((104+62+26+9+126+123)*1.3/3+6)+((9+5+4+6+29+6)*1.3/2+6)+(G144/(3*2)*1.15),1)</f>
        <v>1826</v>
      </c>
      <c r="H132" s="125"/>
      <c r="I132" s="67">
        <f>G132*H132</f>
        <v>0</v>
      </c>
    </row>
    <row r="133" spans="2:9" ht="60" x14ac:dyDescent="0.2">
      <c r="B133" s="68"/>
      <c r="C133" s="69"/>
      <c r="D133" s="69"/>
      <c r="E133" s="70" t="s">
        <v>164</v>
      </c>
      <c r="F133" s="69"/>
      <c r="G133" s="93"/>
      <c r="H133" s="102"/>
      <c r="I133" s="73"/>
    </row>
    <row r="134" spans="2:9" ht="36.75" thickBot="1" x14ac:dyDescent="0.25">
      <c r="B134" s="74"/>
      <c r="C134" s="75"/>
      <c r="D134" s="75"/>
      <c r="E134" s="76" t="s">
        <v>163</v>
      </c>
      <c r="F134" s="75"/>
      <c r="G134" s="94"/>
      <c r="H134" s="103"/>
      <c r="I134" s="79"/>
    </row>
    <row r="135" spans="2:9" ht="26.1" customHeight="1" thickBot="1" x14ac:dyDescent="0.25">
      <c r="B135" s="62">
        <f>1+MAX($B$3:B134)</f>
        <v>43</v>
      </c>
      <c r="C135" s="95">
        <v>155213614</v>
      </c>
      <c r="D135" s="63" t="s">
        <v>127</v>
      </c>
      <c r="E135" s="64" t="s">
        <v>263</v>
      </c>
      <c r="F135" s="87" t="s">
        <v>121</v>
      </c>
      <c r="G135" s="96">
        <f>CEILING((20*1.3/2+1),1)</f>
        <v>14</v>
      </c>
      <c r="H135" s="125"/>
      <c r="I135" s="67">
        <f>G135*H135</f>
        <v>0</v>
      </c>
    </row>
    <row r="136" spans="2:9" ht="24" x14ac:dyDescent="0.2">
      <c r="B136" s="68"/>
      <c r="C136" s="69"/>
      <c r="D136" s="69"/>
      <c r="E136" s="70" t="s">
        <v>264</v>
      </c>
      <c r="F136" s="69"/>
      <c r="G136" s="93"/>
      <c r="H136" s="102"/>
      <c r="I136" s="73"/>
    </row>
    <row r="137" spans="2:9" ht="36.75" thickBot="1" x14ac:dyDescent="0.25">
      <c r="B137" s="74"/>
      <c r="C137" s="75"/>
      <c r="D137" s="75"/>
      <c r="E137" s="76" t="s">
        <v>265</v>
      </c>
      <c r="F137" s="75"/>
      <c r="G137" s="94"/>
      <c r="H137" s="103"/>
      <c r="I137" s="79"/>
    </row>
    <row r="138" spans="2:9" ht="15" thickBot="1" x14ac:dyDescent="0.25">
      <c r="B138" s="62">
        <f>1+MAX($B$3:B137)</f>
        <v>44</v>
      </c>
      <c r="C138" s="65">
        <v>789321110</v>
      </c>
      <c r="D138" s="63" t="s">
        <v>127</v>
      </c>
      <c r="E138" s="81" t="s">
        <v>49</v>
      </c>
      <c r="F138" s="65" t="s">
        <v>23</v>
      </c>
      <c r="G138" s="66">
        <f>CEILING((((2*(PI()*(0.032^2)/4))+(PI()*0.032))*1.3*(3*G132+5*G135)+((2*0.15*0.15+4*0.15*0.008)*(G132+G135)))*1.2,1)</f>
        <v>994</v>
      </c>
      <c r="H138" s="125"/>
      <c r="I138" s="67">
        <f>G138*H138</f>
        <v>0</v>
      </c>
    </row>
    <row r="139" spans="2:9" ht="40.5" x14ac:dyDescent="0.2">
      <c r="B139" s="68"/>
      <c r="C139" s="69"/>
      <c r="D139" s="69"/>
      <c r="E139" s="70" t="s">
        <v>328</v>
      </c>
      <c r="F139" s="69"/>
      <c r="G139" s="97"/>
      <c r="H139" s="72"/>
      <c r="I139" s="73"/>
    </row>
    <row r="140" spans="2:9" ht="39" thickBot="1" x14ac:dyDescent="0.25">
      <c r="B140" s="74"/>
      <c r="C140" s="75"/>
      <c r="D140" s="75"/>
      <c r="E140" s="76" t="s">
        <v>87</v>
      </c>
      <c r="F140" s="75"/>
      <c r="G140" s="90"/>
      <c r="H140" s="78"/>
      <c r="I140" s="79"/>
    </row>
    <row r="141" spans="2:9" ht="15" thickBot="1" x14ac:dyDescent="0.25">
      <c r="B141" s="62">
        <f>1+MAX($B$3:B140)</f>
        <v>45</v>
      </c>
      <c r="C141" s="65">
        <v>789321120</v>
      </c>
      <c r="D141" s="63" t="s">
        <v>127</v>
      </c>
      <c r="E141" s="81" t="s">
        <v>34</v>
      </c>
      <c r="F141" s="87" t="s">
        <v>23</v>
      </c>
      <c r="G141" s="91">
        <f>CEILING((((2*(PI()*(0.032^2)/4))+(PI()*0.032))*1.3*0.4*(G132+G135)+((2*0.15*0.15+4*0.15*0.008)*(G132+G135)))*2*1.2,1)</f>
        <v>455</v>
      </c>
      <c r="H141" s="125"/>
      <c r="I141" s="67">
        <f>G141*H141</f>
        <v>0</v>
      </c>
    </row>
    <row r="142" spans="2:9" ht="40.5" x14ac:dyDescent="0.2">
      <c r="B142" s="68"/>
      <c r="C142" s="69"/>
      <c r="D142" s="69"/>
      <c r="E142" s="70" t="s">
        <v>327</v>
      </c>
      <c r="F142" s="69"/>
      <c r="G142" s="92"/>
      <c r="H142" s="72"/>
      <c r="I142" s="73"/>
    </row>
    <row r="143" spans="2:9" ht="36.75" thickBot="1" x14ac:dyDescent="0.25">
      <c r="B143" s="74"/>
      <c r="C143" s="75"/>
      <c r="D143" s="75"/>
      <c r="E143" s="76" t="s">
        <v>135</v>
      </c>
      <c r="F143" s="75"/>
      <c r="G143" s="90"/>
      <c r="H143" s="78"/>
      <c r="I143" s="79"/>
    </row>
    <row r="144" spans="2:9" ht="15" thickBot="1" x14ac:dyDescent="0.25">
      <c r="B144" s="62">
        <f>1+MAX($B$3:B143)</f>
        <v>46</v>
      </c>
      <c r="C144" s="65">
        <v>155214111</v>
      </c>
      <c r="D144" s="63" t="s">
        <v>127</v>
      </c>
      <c r="E144" s="84" t="s">
        <v>35</v>
      </c>
      <c r="F144" s="65" t="s">
        <v>23</v>
      </c>
      <c r="G144" s="66">
        <f>CEILING((20+36+47+37+26+128+37)*1.56*1.2+(764*2+1371*2.67)*1.3,1)</f>
        <v>7365</v>
      </c>
      <c r="H144" s="125"/>
      <c r="I144" s="67">
        <f>G144*H144</f>
        <v>0</v>
      </c>
    </row>
    <row r="145" spans="2:9" ht="38.25" x14ac:dyDescent="0.2">
      <c r="B145" s="68"/>
      <c r="C145" s="69"/>
      <c r="D145" s="69"/>
      <c r="E145" s="70" t="s">
        <v>268</v>
      </c>
      <c r="F145" s="69"/>
      <c r="G145" s="93"/>
      <c r="H145" s="72"/>
      <c r="I145" s="73"/>
    </row>
    <row r="146" spans="2:9" ht="24.75" thickBot="1" x14ac:dyDescent="0.25">
      <c r="B146" s="74"/>
      <c r="C146" s="75"/>
      <c r="D146" s="75"/>
      <c r="E146" s="76" t="s">
        <v>61</v>
      </c>
      <c r="F146" s="75"/>
      <c r="G146" s="94"/>
      <c r="H146" s="78"/>
      <c r="I146" s="79"/>
    </row>
    <row r="147" spans="2:9" ht="12.95" customHeight="1" thickBot="1" x14ac:dyDescent="0.25">
      <c r="B147" s="62">
        <f>1+MAX($B$3:B146)</f>
        <v>47</v>
      </c>
      <c r="C147" s="65">
        <v>31319104</v>
      </c>
      <c r="D147" s="63" t="s">
        <v>127</v>
      </c>
      <c r="E147" s="81" t="s">
        <v>160</v>
      </c>
      <c r="F147" s="65" t="s">
        <v>23</v>
      </c>
      <c r="G147" s="66">
        <f>CEILING((20+36+47+37+26+128+37)*1.56*1.2*1.2,1)</f>
        <v>744</v>
      </c>
      <c r="H147" s="125"/>
      <c r="I147" s="67">
        <f>G147*H147</f>
        <v>0</v>
      </c>
    </row>
    <row r="148" spans="2:9" ht="26.25" x14ac:dyDescent="0.2">
      <c r="B148" s="68"/>
      <c r="C148" s="69"/>
      <c r="D148" s="69"/>
      <c r="E148" s="70" t="s">
        <v>269</v>
      </c>
      <c r="F148" s="69"/>
      <c r="G148" s="92"/>
      <c r="H148" s="72"/>
      <c r="I148" s="73"/>
    </row>
    <row r="149" spans="2:9" ht="36.75" thickBot="1" x14ac:dyDescent="0.25">
      <c r="B149" s="74"/>
      <c r="C149" s="75"/>
      <c r="D149" s="75"/>
      <c r="E149" s="76" t="s">
        <v>116</v>
      </c>
      <c r="F149" s="75"/>
      <c r="G149" s="90"/>
      <c r="H149" s="78"/>
      <c r="I149" s="79"/>
    </row>
    <row r="150" spans="2:9" ht="15" thickBot="1" x14ac:dyDescent="0.25">
      <c r="B150" s="62">
        <f>1+MAX($B$3:B149)</f>
        <v>48</v>
      </c>
      <c r="C150" s="65">
        <v>31319090</v>
      </c>
      <c r="D150" s="63" t="s">
        <v>127</v>
      </c>
      <c r="E150" s="81" t="s">
        <v>161</v>
      </c>
      <c r="F150" s="65" t="s">
        <v>23</v>
      </c>
      <c r="G150" s="66">
        <f>CEILING((764*2+1371*2.67)*1.3*1.2,1)</f>
        <v>8095</v>
      </c>
      <c r="H150" s="125"/>
      <c r="I150" s="67">
        <f>G150*H150</f>
        <v>0</v>
      </c>
    </row>
    <row r="151" spans="2:9" ht="26.25" x14ac:dyDescent="0.2">
      <c r="B151" s="68"/>
      <c r="C151" s="69"/>
      <c r="D151" s="69"/>
      <c r="E151" s="70" t="s">
        <v>270</v>
      </c>
      <c r="F151" s="69"/>
      <c r="G151" s="92"/>
      <c r="H151" s="72"/>
      <c r="I151" s="73"/>
    </row>
    <row r="152" spans="2:9" ht="36.75" thickBot="1" x14ac:dyDescent="0.25">
      <c r="B152" s="74"/>
      <c r="C152" s="75"/>
      <c r="D152" s="75"/>
      <c r="E152" s="76" t="s">
        <v>159</v>
      </c>
      <c r="F152" s="75"/>
      <c r="G152" s="90"/>
      <c r="H152" s="78"/>
      <c r="I152" s="79"/>
    </row>
    <row r="153" spans="2:9" ht="15" thickBot="1" x14ac:dyDescent="0.25">
      <c r="B153" s="62">
        <f>1+MAX($B$3:B152)</f>
        <v>49</v>
      </c>
      <c r="C153" s="65">
        <v>155214112</v>
      </c>
      <c r="D153" s="63" t="s">
        <v>127</v>
      </c>
      <c r="E153" s="81" t="s">
        <v>100</v>
      </c>
      <c r="F153" s="65" t="s">
        <v>23</v>
      </c>
      <c r="G153" s="66">
        <f>CEILING(0.35*G144,1)</f>
        <v>2578</v>
      </c>
      <c r="H153" s="125"/>
      <c r="I153" s="67">
        <f>G153*H153</f>
        <v>0</v>
      </c>
    </row>
    <row r="154" spans="2:9" ht="14.25" x14ac:dyDescent="0.2">
      <c r="B154" s="68"/>
      <c r="C154" s="69"/>
      <c r="D154" s="69"/>
      <c r="E154" s="70" t="s">
        <v>162</v>
      </c>
      <c r="F154" s="69"/>
      <c r="G154" s="92"/>
      <c r="H154" s="72"/>
      <c r="I154" s="73"/>
    </row>
    <row r="155" spans="2:9" ht="36.75" thickBot="1" x14ac:dyDescent="0.25">
      <c r="B155" s="74"/>
      <c r="C155" s="75"/>
      <c r="D155" s="75"/>
      <c r="E155" s="76" t="s">
        <v>117</v>
      </c>
      <c r="F155" s="75"/>
      <c r="G155" s="90"/>
      <c r="H155" s="78"/>
      <c r="I155" s="79"/>
    </row>
    <row r="156" spans="2:9" ht="15" thickBot="1" x14ac:dyDescent="0.25">
      <c r="B156" s="62">
        <f>1+MAX($B$3:B155)</f>
        <v>50</v>
      </c>
      <c r="C156" s="65">
        <v>69321111</v>
      </c>
      <c r="D156" s="63" t="s">
        <v>127</v>
      </c>
      <c r="E156" s="81" t="s">
        <v>97</v>
      </c>
      <c r="F156" s="65" t="s">
        <v>23</v>
      </c>
      <c r="G156" s="66">
        <f>CEILING(G153*1.2,1)</f>
        <v>3094</v>
      </c>
      <c r="H156" s="125"/>
      <c r="I156" s="67">
        <f>G156*H156</f>
        <v>0</v>
      </c>
    </row>
    <row r="157" spans="2:9" ht="14.25" x14ac:dyDescent="0.2">
      <c r="B157" s="68"/>
      <c r="C157" s="69"/>
      <c r="D157" s="69"/>
      <c r="E157" s="70" t="s">
        <v>101</v>
      </c>
      <c r="F157" s="69"/>
      <c r="G157" s="92"/>
      <c r="H157" s="72"/>
      <c r="I157" s="73"/>
    </row>
    <row r="158" spans="2:9" ht="24.75" thickBot="1" x14ac:dyDescent="0.25">
      <c r="B158" s="74"/>
      <c r="C158" s="75"/>
      <c r="D158" s="75"/>
      <c r="E158" s="76" t="s">
        <v>118</v>
      </c>
      <c r="F158" s="75"/>
      <c r="G158" s="90"/>
      <c r="H158" s="78"/>
      <c r="I158" s="79"/>
    </row>
    <row r="159" spans="2:9" thickBot="1" x14ac:dyDescent="0.25">
      <c r="B159" s="62">
        <f>1+MAX($B$3:B158)</f>
        <v>51</v>
      </c>
      <c r="C159" s="65">
        <v>155214211</v>
      </c>
      <c r="D159" s="63" t="s">
        <v>127</v>
      </c>
      <c r="E159" s="81" t="s">
        <v>36</v>
      </c>
      <c r="F159" s="83" t="s">
        <v>8</v>
      </c>
      <c r="G159" s="66">
        <f>CEILING(((10+10+15+15+20+20+13+8+4+6+6+41+41+12+3)+(3+3+3+3+3+3+6+6+3+4+7+5+4+14+14))*1.2+((104+62+26+9+126+123)+(9+5+4+6+29+6))*1.3+(G144*0.35),1)</f>
        <v>3606</v>
      </c>
      <c r="H159" s="125"/>
      <c r="I159" s="67">
        <f>G159*H159</f>
        <v>0</v>
      </c>
    </row>
    <row r="160" spans="2:9" ht="36" x14ac:dyDescent="0.2">
      <c r="B160" s="68"/>
      <c r="C160" s="69"/>
      <c r="D160" s="69"/>
      <c r="E160" s="70" t="s">
        <v>165</v>
      </c>
      <c r="F160" s="69"/>
      <c r="G160" s="92"/>
      <c r="H160" s="72"/>
      <c r="I160" s="73"/>
    </row>
    <row r="161" spans="2:9" ht="36.75" thickBot="1" x14ac:dyDescent="0.25">
      <c r="B161" s="74"/>
      <c r="C161" s="75"/>
      <c r="D161" s="75"/>
      <c r="E161" s="76" t="s">
        <v>98</v>
      </c>
      <c r="F161" s="75"/>
      <c r="G161" s="90"/>
      <c r="H161" s="78"/>
      <c r="I161" s="79"/>
    </row>
    <row r="162" spans="2:9" thickBot="1" x14ac:dyDescent="0.25">
      <c r="B162" s="62">
        <f>1+MAX($B$3:B161)</f>
        <v>52</v>
      </c>
      <c r="C162" s="65">
        <v>31452106</v>
      </c>
      <c r="D162" s="63" t="s">
        <v>127</v>
      </c>
      <c r="E162" s="81" t="s">
        <v>47</v>
      </c>
      <c r="F162" s="83" t="s">
        <v>8</v>
      </c>
      <c r="G162" s="66">
        <f>CEILING((G144*0.35)*1.2,1)</f>
        <v>3094</v>
      </c>
      <c r="H162" s="125"/>
      <c r="I162" s="67">
        <f>G162*H162</f>
        <v>0</v>
      </c>
    </row>
    <row r="163" spans="2:9" ht="24" x14ac:dyDescent="0.2">
      <c r="B163" s="68"/>
      <c r="C163" s="69"/>
      <c r="D163" s="69"/>
      <c r="E163" s="70" t="s">
        <v>99</v>
      </c>
      <c r="F163" s="69"/>
      <c r="G163" s="92"/>
      <c r="H163" s="72"/>
      <c r="I163" s="73"/>
    </row>
    <row r="164" spans="2:9" ht="24.75" thickBot="1" x14ac:dyDescent="0.25">
      <c r="B164" s="74"/>
      <c r="C164" s="75"/>
      <c r="D164" s="75"/>
      <c r="E164" s="76" t="s">
        <v>88</v>
      </c>
      <c r="F164" s="75"/>
      <c r="G164" s="90"/>
      <c r="H164" s="78"/>
      <c r="I164" s="79"/>
    </row>
    <row r="165" spans="2:9" thickBot="1" x14ac:dyDescent="0.25">
      <c r="B165" s="62">
        <f>1+MAX($B$3:B164)</f>
        <v>53</v>
      </c>
      <c r="C165" s="83">
        <v>31452107</v>
      </c>
      <c r="D165" s="63" t="s">
        <v>127</v>
      </c>
      <c r="E165" s="81" t="s">
        <v>37</v>
      </c>
      <c r="F165" s="83" t="s">
        <v>8</v>
      </c>
      <c r="G165" s="66">
        <f>CEILING(((10+10+15+15+20+20+13+8+4+6+6+41+41+12+3)+(3+3+3+3+3+3+6+6+3+4+7+5+4+14+14))*1.2*1.2+((104+62+26+9+126+123)+(9+5+4+6+29+6))*1.3*1.2,1)</f>
        <v>1234</v>
      </c>
      <c r="H165" s="125"/>
      <c r="I165" s="67">
        <f>G165*H165</f>
        <v>0</v>
      </c>
    </row>
    <row r="166" spans="2:9" ht="36" x14ac:dyDescent="0.2">
      <c r="B166" s="68"/>
      <c r="C166" s="69"/>
      <c r="D166" s="69"/>
      <c r="E166" s="70" t="s">
        <v>166</v>
      </c>
      <c r="F166" s="69"/>
      <c r="G166" s="92"/>
      <c r="H166" s="72"/>
      <c r="I166" s="73"/>
    </row>
    <row r="167" spans="2:9" ht="24.75" thickBot="1" x14ac:dyDescent="0.25">
      <c r="B167" s="74"/>
      <c r="C167" s="75"/>
      <c r="D167" s="75"/>
      <c r="E167" s="76" t="s">
        <v>89</v>
      </c>
      <c r="F167" s="75"/>
      <c r="G167" s="90"/>
      <c r="H167" s="78"/>
      <c r="I167" s="79"/>
    </row>
    <row r="168" spans="2:9" ht="26.25" customHeight="1" thickBot="1" x14ac:dyDescent="0.25">
      <c r="B168" s="62">
        <f>1+MAX($B$3:B167)</f>
        <v>54</v>
      </c>
      <c r="C168" s="65">
        <v>155213511</v>
      </c>
      <c r="D168" s="63" t="s">
        <v>127</v>
      </c>
      <c r="E168" s="81" t="s">
        <v>33</v>
      </c>
      <c r="F168" s="87" t="s">
        <v>121</v>
      </c>
      <c r="G168" s="66">
        <f>CEILING(G144/500,1)</f>
        <v>15</v>
      </c>
      <c r="H168" s="125"/>
      <c r="I168" s="67">
        <f>G168*H168</f>
        <v>0</v>
      </c>
    </row>
    <row r="169" spans="2:9" ht="12" x14ac:dyDescent="0.2">
      <c r="B169" s="68"/>
      <c r="C169" s="69"/>
      <c r="D169" s="69"/>
      <c r="E169" s="70" t="s">
        <v>280</v>
      </c>
      <c r="F169" s="69"/>
      <c r="G169" s="92"/>
      <c r="H169" s="72"/>
      <c r="I169" s="73"/>
    </row>
    <row r="170" spans="2:9" thickBot="1" x14ac:dyDescent="0.25">
      <c r="B170" s="74"/>
      <c r="C170" s="75"/>
      <c r="D170" s="75"/>
      <c r="E170" s="76" t="s">
        <v>60</v>
      </c>
      <c r="F170" s="75"/>
      <c r="G170" s="90"/>
      <c r="H170" s="78"/>
      <c r="I170" s="79"/>
    </row>
    <row r="171" spans="2:9" ht="13.5" thickBot="1" x14ac:dyDescent="0.25">
      <c r="B171" s="57"/>
      <c r="C171" s="58"/>
      <c r="D171" s="58"/>
      <c r="E171" s="100" t="s">
        <v>129</v>
      </c>
      <c r="F171" s="58"/>
      <c r="G171" s="58"/>
      <c r="H171" s="101"/>
      <c r="I171" s="61">
        <f>SUM(I172:I234)</f>
        <v>0</v>
      </c>
    </row>
    <row r="172" spans="2:9" ht="24.75" thickBot="1" x14ac:dyDescent="0.25">
      <c r="B172" s="62">
        <f>1+MAX($B$3:B171)</f>
        <v>55</v>
      </c>
      <c r="C172" s="63">
        <v>224211116</v>
      </c>
      <c r="D172" s="63" t="s">
        <v>127</v>
      </c>
      <c r="E172" s="104" t="s">
        <v>168</v>
      </c>
      <c r="F172" s="105" t="s">
        <v>8</v>
      </c>
      <c r="G172" s="66">
        <f>(G193+G196+G199)*3</f>
        <v>75</v>
      </c>
      <c r="H172" s="125"/>
      <c r="I172" s="67">
        <f>G172*H172</f>
        <v>0</v>
      </c>
    </row>
    <row r="173" spans="2:9" ht="12" x14ac:dyDescent="0.2">
      <c r="B173" s="68"/>
      <c r="C173" s="69"/>
      <c r="D173" s="69"/>
      <c r="E173" s="70" t="s">
        <v>192</v>
      </c>
      <c r="F173" s="69"/>
      <c r="G173" s="92"/>
      <c r="H173" s="72"/>
      <c r="I173" s="73"/>
    </row>
    <row r="174" spans="2:9" ht="36.75" thickBot="1" x14ac:dyDescent="0.25">
      <c r="B174" s="74"/>
      <c r="C174" s="75"/>
      <c r="D174" s="75"/>
      <c r="E174" s="76" t="s">
        <v>171</v>
      </c>
      <c r="F174" s="75"/>
      <c r="G174" s="90"/>
      <c r="H174" s="78"/>
      <c r="I174" s="79"/>
    </row>
    <row r="175" spans="2:9" ht="24.75" thickBot="1" x14ac:dyDescent="0.25">
      <c r="B175" s="62">
        <f>1+MAX($B$3:B174)</f>
        <v>56</v>
      </c>
      <c r="C175" s="63">
        <v>224311116</v>
      </c>
      <c r="D175" s="63" t="s">
        <v>127</v>
      </c>
      <c r="E175" s="104" t="s">
        <v>169</v>
      </c>
      <c r="F175" s="105" t="s">
        <v>8</v>
      </c>
      <c r="G175" s="66">
        <f>(4+6)*4+2*4+2*8</f>
        <v>64</v>
      </c>
      <c r="H175" s="125"/>
      <c r="I175" s="67">
        <f>G175*H175</f>
        <v>0</v>
      </c>
    </row>
    <row r="176" spans="2:9" ht="12" x14ac:dyDescent="0.2">
      <c r="B176" s="68"/>
      <c r="C176" s="69"/>
      <c r="D176" s="69"/>
      <c r="E176" s="70" t="s">
        <v>172</v>
      </c>
      <c r="F176" s="69"/>
      <c r="G176" s="92"/>
      <c r="H176" s="72"/>
      <c r="I176" s="73"/>
    </row>
    <row r="177" spans="2:9" ht="36.75" thickBot="1" x14ac:dyDescent="0.25">
      <c r="B177" s="74"/>
      <c r="C177" s="75"/>
      <c r="D177" s="75"/>
      <c r="E177" s="76" t="s">
        <v>170</v>
      </c>
      <c r="F177" s="75"/>
      <c r="G177" s="90"/>
      <c r="H177" s="78"/>
      <c r="I177" s="79"/>
    </row>
    <row r="178" spans="2:9" ht="24.75" thickBot="1" x14ac:dyDescent="0.25">
      <c r="B178" s="62">
        <f>1+MAX($B$3:B177)</f>
        <v>57</v>
      </c>
      <c r="C178" s="65" t="s">
        <v>291</v>
      </c>
      <c r="D178" s="65" t="s">
        <v>75</v>
      </c>
      <c r="E178" s="81" t="s">
        <v>302</v>
      </c>
      <c r="F178" s="65" t="s">
        <v>38</v>
      </c>
      <c r="G178" s="66">
        <f>CEILING(4.7*0.5,0.1)</f>
        <v>2.4000000000000004</v>
      </c>
      <c r="H178" s="125"/>
      <c r="I178" s="67">
        <f>G178*H178</f>
        <v>0</v>
      </c>
    </row>
    <row r="179" spans="2:9" ht="14.25" x14ac:dyDescent="0.2">
      <c r="B179" s="68"/>
      <c r="C179" s="69"/>
      <c r="D179" s="69"/>
      <c r="E179" s="70" t="s">
        <v>218</v>
      </c>
      <c r="F179" s="69"/>
      <c r="G179" s="92"/>
      <c r="H179" s="72"/>
      <c r="I179" s="73"/>
    </row>
    <row r="180" spans="2:9" ht="50.1" customHeight="1" thickBot="1" x14ac:dyDescent="0.25">
      <c r="B180" s="74"/>
      <c r="C180" s="75"/>
      <c r="D180" s="75"/>
      <c r="E180" s="76" t="s">
        <v>338</v>
      </c>
      <c r="F180" s="75"/>
      <c r="G180" s="90"/>
      <c r="H180" s="78"/>
      <c r="I180" s="79"/>
    </row>
    <row r="181" spans="2:9" ht="24.75" thickBot="1" x14ac:dyDescent="0.25">
      <c r="B181" s="62">
        <f>1+MAX($B$3:B180)</f>
        <v>58</v>
      </c>
      <c r="C181" s="63" t="s">
        <v>306</v>
      </c>
      <c r="D181" s="65" t="s">
        <v>75</v>
      </c>
      <c r="E181" s="64" t="s">
        <v>307</v>
      </c>
      <c r="F181" s="89" t="s">
        <v>38</v>
      </c>
      <c r="G181" s="66">
        <f>CEILING(((0.5*0.5*0.8)*(5+3))*1.2,0.1)</f>
        <v>2</v>
      </c>
      <c r="H181" s="125"/>
      <c r="I181" s="67">
        <f>G181*H181</f>
        <v>0</v>
      </c>
    </row>
    <row r="182" spans="2:9" ht="26.25" x14ac:dyDescent="0.2">
      <c r="B182" s="68"/>
      <c r="C182" s="69"/>
      <c r="D182" s="69"/>
      <c r="E182" s="70" t="s">
        <v>179</v>
      </c>
      <c r="F182" s="69"/>
      <c r="G182" s="92"/>
      <c r="H182" s="72"/>
      <c r="I182" s="73"/>
    </row>
    <row r="183" spans="2:9" ht="60.75" thickBot="1" x14ac:dyDescent="0.25">
      <c r="B183" s="74"/>
      <c r="C183" s="75"/>
      <c r="D183" s="75"/>
      <c r="E183" s="76" t="s">
        <v>339</v>
      </c>
      <c r="F183" s="75"/>
      <c r="G183" s="90"/>
      <c r="H183" s="78"/>
      <c r="I183" s="79"/>
    </row>
    <row r="184" spans="2:9" ht="15" thickBot="1" x14ac:dyDescent="0.25">
      <c r="B184" s="62">
        <f>1+MAX($B$3:B183)</f>
        <v>59</v>
      </c>
      <c r="C184" s="63">
        <v>275354111</v>
      </c>
      <c r="D184" s="63" t="s">
        <v>127</v>
      </c>
      <c r="E184" s="64" t="s">
        <v>173</v>
      </c>
      <c r="F184" s="65" t="s">
        <v>23</v>
      </c>
      <c r="G184" s="66">
        <f>CEILING((0.5*0.8*4)*(3+5)*1.2,1)</f>
        <v>16</v>
      </c>
      <c r="H184" s="125"/>
      <c r="I184" s="67">
        <f>G184*H184</f>
        <v>0</v>
      </c>
    </row>
    <row r="185" spans="2:9" ht="14.25" x14ac:dyDescent="0.2">
      <c r="B185" s="68"/>
      <c r="C185" s="69"/>
      <c r="D185" s="69"/>
      <c r="E185" s="70" t="s">
        <v>180</v>
      </c>
      <c r="F185" s="69"/>
      <c r="G185" s="92"/>
      <c r="H185" s="72"/>
      <c r="I185" s="73"/>
    </row>
    <row r="186" spans="2:9" thickBot="1" x14ac:dyDescent="0.25">
      <c r="B186" s="74"/>
      <c r="C186" s="75"/>
      <c r="D186" s="75"/>
      <c r="E186" s="76" t="s">
        <v>174</v>
      </c>
      <c r="F186" s="75"/>
      <c r="G186" s="90"/>
      <c r="H186" s="78"/>
      <c r="I186" s="79"/>
    </row>
    <row r="187" spans="2:9" ht="15" thickBot="1" x14ac:dyDescent="0.25">
      <c r="B187" s="62">
        <f>1+MAX($B$3:B186)</f>
        <v>60</v>
      </c>
      <c r="C187" s="63">
        <v>275354211</v>
      </c>
      <c r="D187" s="63" t="s">
        <v>127</v>
      </c>
      <c r="E187" s="64" t="s">
        <v>175</v>
      </c>
      <c r="F187" s="65" t="s">
        <v>23</v>
      </c>
      <c r="G187" s="66">
        <f>G184</f>
        <v>16</v>
      </c>
      <c r="H187" s="125"/>
      <c r="I187" s="67">
        <f>G187*H187</f>
        <v>0</v>
      </c>
    </row>
    <row r="188" spans="2:9" ht="12" x14ac:dyDescent="0.2">
      <c r="B188" s="68"/>
      <c r="C188" s="69"/>
      <c r="D188" s="69"/>
      <c r="E188" s="70" t="s">
        <v>176</v>
      </c>
      <c r="F188" s="69"/>
      <c r="G188" s="92"/>
      <c r="H188" s="72"/>
      <c r="I188" s="73"/>
    </row>
    <row r="189" spans="2:9" thickBot="1" x14ac:dyDescent="0.25">
      <c r="B189" s="74"/>
      <c r="C189" s="75"/>
      <c r="D189" s="75"/>
      <c r="E189" s="76" t="s">
        <v>177</v>
      </c>
      <c r="F189" s="75"/>
      <c r="G189" s="90"/>
      <c r="H189" s="78"/>
      <c r="I189" s="79"/>
    </row>
    <row r="190" spans="2:9" ht="24.75" thickBot="1" x14ac:dyDescent="0.25">
      <c r="B190" s="62">
        <f>1+MAX($B$3:B189)</f>
        <v>61</v>
      </c>
      <c r="C190" s="95">
        <v>275311127</v>
      </c>
      <c r="D190" s="63" t="s">
        <v>127</v>
      </c>
      <c r="E190" s="82" t="s">
        <v>48</v>
      </c>
      <c r="F190" s="87" t="s">
        <v>38</v>
      </c>
      <c r="G190" s="66">
        <f>G181</f>
        <v>2</v>
      </c>
      <c r="H190" s="125"/>
      <c r="I190" s="67">
        <f>G190*H190</f>
        <v>0</v>
      </c>
    </row>
    <row r="191" spans="2:9" ht="12" x14ac:dyDescent="0.2">
      <c r="B191" s="68"/>
      <c r="C191" s="69"/>
      <c r="D191" s="69"/>
      <c r="E191" s="70" t="s">
        <v>82</v>
      </c>
      <c r="F191" s="69"/>
      <c r="G191" s="92"/>
      <c r="H191" s="72"/>
      <c r="I191" s="73"/>
    </row>
    <row r="192" spans="2:9" ht="24.75" thickBot="1" x14ac:dyDescent="0.25">
      <c r="B192" s="74"/>
      <c r="C192" s="75"/>
      <c r="D192" s="75"/>
      <c r="E192" s="76" t="s">
        <v>178</v>
      </c>
      <c r="F192" s="75"/>
      <c r="G192" s="90"/>
      <c r="H192" s="78"/>
      <c r="I192" s="79"/>
    </row>
    <row r="193" spans="2:9" ht="24.75" thickBot="1" x14ac:dyDescent="0.25">
      <c r="B193" s="62">
        <f>1+MAX($B$3:B192)</f>
        <v>62</v>
      </c>
      <c r="C193" s="95">
        <v>155213112</v>
      </c>
      <c r="D193" s="63" t="s">
        <v>127</v>
      </c>
      <c r="E193" s="64" t="s">
        <v>181</v>
      </c>
      <c r="F193" s="87" t="s">
        <v>121</v>
      </c>
      <c r="G193" s="66">
        <f>3*2</f>
        <v>6</v>
      </c>
      <c r="H193" s="125"/>
      <c r="I193" s="67">
        <f>G193*H193</f>
        <v>0</v>
      </c>
    </row>
    <row r="194" spans="2:9" ht="12" x14ac:dyDescent="0.2">
      <c r="B194" s="68"/>
      <c r="C194" s="69"/>
      <c r="D194" s="69"/>
      <c r="E194" s="70" t="s">
        <v>182</v>
      </c>
      <c r="F194" s="69"/>
      <c r="G194" s="92"/>
      <c r="H194" s="72"/>
      <c r="I194" s="73"/>
    </row>
    <row r="195" spans="2:9" ht="24.75" thickBot="1" x14ac:dyDescent="0.25">
      <c r="B195" s="74"/>
      <c r="C195" s="75"/>
      <c r="D195" s="75"/>
      <c r="E195" s="76" t="s">
        <v>186</v>
      </c>
      <c r="F195" s="75"/>
      <c r="G195" s="90"/>
      <c r="H195" s="78"/>
      <c r="I195" s="79"/>
    </row>
    <row r="196" spans="2:9" ht="24.75" thickBot="1" x14ac:dyDescent="0.25">
      <c r="B196" s="62">
        <f>1+MAX($B$3:B195)</f>
        <v>63</v>
      </c>
      <c r="C196" s="95">
        <v>155213113</v>
      </c>
      <c r="D196" s="63" t="s">
        <v>127</v>
      </c>
      <c r="E196" s="64" t="s">
        <v>111</v>
      </c>
      <c r="F196" s="87" t="s">
        <v>121</v>
      </c>
      <c r="G196" s="66">
        <f>5*2</f>
        <v>10</v>
      </c>
      <c r="H196" s="125"/>
      <c r="I196" s="67">
        <f>G196*H196</f>
        <v>0</v>
      </c>
    </row>
    <row r="197" spans="2:9" ht="12" x14ac:dyDescent="0.2">
      <c r="B197" s="68"/>
      <c r="C197" s="69"/>
      <c r="D197" s="69"/>
      <c r="E197" s="70" t="s">
        <v>187</v>
      </c>
      <c r="F197" s="69"/>
      <c r="G197" s="92"/>
      <c r="H197" s="72"/>
      <c r="I197" s="73"/>
    </row>
    <row r="198" spans="2:9" ht="24.75" thickBot="1" x14ac:dyDescent="0.25">
      <c r="B198" s="74"/>
      <c r="C198" s="75"/>
      <c r="D198" s="75"/>
      <c r="E198" s="76" t="s">
        <v>188</v>
      </c>
      <c r="F198" s="75"/>
      <c r="G198" s="90"/>
      <c r="H198" s="78"/>
      <c r="I198" s="79"/>
    </row>
    <row r="199" spans="2:9" ht="39" customHeight="1" thickBot="1" x14ac:dyDescent="0.25">
      <c r="B199" s="62">
        <f>1+MAX($B$3:B198)</f>
        <v>64</v>
      </c>
      <c r="C199" s="95">
        <v>155213313</v>
      </c>
      <c r="D199" s="63" t="s">
        <v>127</v>
      </c>
      <c r="E199" s="64" t="s">
        <v>191</v>
      </c>
      <c r="F199" s="87" t="s">
        <v>121</v>
      </c>
      <c r="G199" s="66">
        <f>CEILING((1+8+1)/1.5+1+(1),1)</f>
        <v>9</v>
      </c>
      <c r="H199" s="125"/>
      <c r="I199" s="67">
        <f>G199*H199</f>
        <v>0</v>
      </c>
    </row>
    <row r="200" spans="2:9" ht="24" x14ac:dyDescent="0.2">
      <c r="B200" s="68"/>
      <c r="C200" s="69"/>
      <c r="D200" s="69"/>
      <c r="E200" s="70" t="s">
        <v>189</v>
      </c>
      <c r="F200" s="69"/>
      <c r="G200" s="92"/>
      <c r="H200" s="72"/>
      <c r="I200" s="73"/>
    </row>
    <row r="201" spans="2:9" ht="24.75" thickBot="1" x14ac:dyDescent="0.25">
      <c r="B201" s="74"/>
      <c r="C201" s="75"/>
      <c r="D201" s="75"/>
      <c r="E201" s="76" t="s">
        <v>190</v>
      </c>
      <c r="F201" s="75"/>
      <c r="G201" s="90"/>
      <c r="H201" s="78"/>
      <c r="I201" s="79"/>
    </row>
    <row r="202" spans="2:9" ht="15" thickBot="1" x14ac:dyDescent="0.25">
      <c r="B202" s="62">
        <f>1+MAX($B$3:B201)</f>
        <v>65</v>
      </c>
      <c r="C202" s="65">
        <v>789321110</v>
      </c>
      <c r="D202" s="63" t="s">
        <v>127</v>
      </c>
      <c r="E202" s="81" t="s">
        <v>49</v>
      </c>
      <c r="F202" s="65" t="s">
        <v>23</v>
      </c>
      <c r="G202" s="66">
        <f>CEILING((((2*(PI()*(0.025^2)/4))+(PI()*0.025))*1.3*G193*3+((2*(PI()*(0.032^2)/4))+(PI()*0.032))*1.3*(G196+G199)*3)*1.2,1)</f>
        <v>12</v>
      </c>
      <c r="H202" s="125"/>
      <c r="I202" s="67">
        <f>G202*H202</f>
        <v>0</v>
      </c>
    </row>
    <row r="203" spans="2:9" ht="38.25" x14ac:dyDescent="0.2">
      <c r="B203" s="68"/>
      <c r="C203" s="69"/>
      <c r="D203" s="69"/>
      <c r="E203" s="70" t="s">
        <v>193</v>
      </c>
      <c r="F203" s="69"/>
      <c r="G203" s="97"/>
      <c r="H203" s="72"/>
      <c r="I203" s="73"/>
    </row>
    <row r="204" spans="2:9" ht="39" thickBot="1" x14ac:dyDescent="0.25">
      <c r="B204" s="74"/>
      <c r="C204" s="75"/>
      <c r="D204" s="75"/>
      <c r="E204" s="76" t="s">
        <v>87</v>
      </c>
      <c r="F204" s="75"/>
      <c r="G204" s="106"/>
      <c r="H204" s="78"/>
      <c r="I204" s="79"/>
    </row>
    <row r="205" spans="2:9" ht="15" thickBot="1" x14ac:dyDescent="0.25">
      <c r="B205" s="62">
        <f>1+MAX($B$3:B204)</f>
        <v>66</v>
      </c>
      <c r="C205" s="83">
        <v>789321120</v>
      </c>
      <c r="D205" s="63" t="s">
        <v>127</v>
      </c>
      <c r="E205" s="84" t="s">
        <v>34</v>
      </c>
      <c r="F205" s="65" t="s">
        <v>23</v>
      </c>
      <c r="G205" s="66">
        <f>CEILING((((2*(PI()*(0.025^2)/4))+(PI()*0.025))*1.3*G193*0.4+((2*(PI()*(0.032^2)/4))+(PI()*0.032))*1.3*(G196+G199)*0.4)*2*1.2,1)</f>
        <v>4</v>
      </c>
      <c r="H205" s="125"/>
      <c r="I205" s="67">
        <f>G205*H205</f>
        <v>0</v>
      </c>
    </row>
    <row r="206" spans="2:9" ht="38.25" x14ac:dyDescent="0.2">
      <c r="B206" s="68"/>
      <c r="C206" s="69"/>
      <c r="D206" s="69"/>
      <c r="E206" s="70" t="s">
        <v>194</v>
      </c>
      <c r="F206" s="69"/>
      <c r="G206" s="92"/>
      <c r="H206" s="72"/>
      <c r="I206" s="73"/>
    </row>
    <row r="207" spans="2:9" ht="36.75" thickBot="1" x14ac:dyDescent="0.25">
      <c r="B207" s="74"/>
      <c r="C207" s="75"/>
      <c r="D207" s="75"/>
      <c r="E207" s="76" t="s">
        <v>183</v>
      </c>
      <c r="F207" s="75"/>
      <c r="G207" s="90"/>
      <c r="H207" s="78"/>
      <c r="I207" s="79"/>
    </row>
    <row r="208" spans="2:9" thickBot="1" x14ac:dyDescent="0.25">
      <c r="B208" s="62">
        <f>1+MAX($B$3:B207)</f>
        <v>67</v>
      </c>
      <c r="C208" s="83">
        <v>281604111</v>
      </c>
      <c r="D208" s="63" t="s">
        <v>127</v>
      </c>
      <c r="E208" s="84" t="s">
        <v>184</v>
      </c>
      <c r="F208" s="66" t="s">
        <v>9</v>
      </c>
      <c r="G208" s="66">
        <f>CEILING((G172+G175)*0.5,0.1)</f>
        <v>69.5</v>
      </c>
      <c r="H208" s="125"/>
      <c r="I208" s="67">
        <f>G208*H208</f>
        <v>0</v>
      </c>
    </row>
    <row r="209" spans="2:9" ht="12" x14ac:dyDescent="0.2">
      <c r="B209" s="68"/>
      <c r="C209" s="69"/>
      <c r="D209" s="69"/>
      <c r="E209" s="70" t="s">
        <v>185</v>
      </c>
      <c r="F209" s="69"/>
      <c r="G209" s="92"/>
      <c r="H209" s="72"/>
      <c r="I209" s="73"/>
    </row>
    <row r="210" spans="2:9" ht="24.75" thickBot="1" x14ac:dyDescent="0.25">
      <c r="B210" s="74"/>
      <c r="C210" s="75"/>
      <c r="D210" s="75"/>
      <c r="E210" s="76" t="s">
        <v>59</v>
      </c>
      <c r="F210" s="75"/>
      <c r="G210" s="90"/>
      <c r="H210" s="78"/>
      <c r="I210" s="79"/>
    </row>
    <row r="211" spans="2:9" ht="15" thickBot="1" x14ac:dyDescent="0.25">
      <c r="B211" s="62">
        <f>1+MAX($B$3:B210)</f>
        <v>68</v>
      </c>
      <c r="C211" s="63">
        <v>155215111</v>
      </c>
      <c r="D211" s="63" t="s">
        <v>127</v>
      </c>
      <c r="E211" s="64" t="s">
        <v>195</v>
      </c>
      <c r="F211" s="65" t="s">
        <v>23</v>
      </c>
      <c r="G211" s="66">
        <f>G214</f>
        <v>88</v>
      </c>
      <c r="H211" s="125"/>
      <c r="I211" s="67">
        <f>G211*H211</f>
        <v>0</v>
      </c>
    </row>
    <row r="212" spans="2:9" ht="12" x14ac:dyDescent="0.2">
      <c r="B212" s="68"/>
      <c r="C212" s="69"/>
      <c r="D212" s="69"/>
      <c r="E212" s="70" t="s">
        <v>207</v>
      </c>
      <c r="F212" s="69"/>
      <c r="G212" s="92"/>
      <c r="H212" s="72"/>
      <c r="I212" s="73"/>
    </row>
    <row r="213" spans="2:9" ht="48.75" thickBot="1" x14ac:dyDescent="0.25">
      <c r="B213" s="74"/>
      <c r="C213" s="75"/>
      <c r="D213" s="75"/>
      <c r="E213" s="76" t="s">
        <v>214</v>
      </c>
      <c r="F213" s="75"/>
      <c r="G213" s="90"/>
      <c r="H213" s="78"/>
      <c r="I213" s="79"/>
    </row>
    <row r="214" spans="2:9" ht="24.75" customHeight="1" thickBot="1" x14ac:dyDescent="0.25">
      <c r="B214" s="62">
        <f>1+MAX($B$3:B213)</f>
        <v>69</v>
      </c>
      <c r="C214" s="107" t="s">
        <v>206</v>
      </c>
      <c r="D214" s="65" t="s">
        <v>75</v>
      </c>
      <c r="E214" s="108" t="s">
        <v>215</v>
      </c>
      <c r="F214" s="109" t="s">
        <v>23</v>
      </c>
      <c r="G214" s="110">
        <f>22*4</f>
        <v>88</v>
      </c>
      <c r="H214" s="127"/>
      <c r="I214" s="67">
        <f>G214*H214</f>
        <v>0</v>
      </c>
    </row>
    <row r="215" spans="2:9" ht="12" x14ac:dyDescent="0.2">
      <c r="B215" s="68"/>
      <c r="C215" s="111"/>
      <c r="D215" s="111"/>
      <c r="E215" s="112" t="s">
        <v>208</v>
      </c>
      <c r="F215" s="111"/>
      <c r="G215" s="113"/>
      <c r="H215" s="114"/>
      <c r="I215" s="115"/>
    </row>
    <row r="216" spans="2:9" ht="60.75" thickBot="1" x14ac:dyDescent="0.25">
      <c r="B216" s="74"/>
      <c r="C216" s="75"/>
      <c r="D216" s="75"/>
      <c r="E216" s="76" t="s">
        <v>311</v>
      </c>
      <c r="F216" s="75"/>
      <c r="G216" s="90"/>
      <c r="H216" s="78"/>
      <c r="I216" s="79"/>
    </row>
    <row r="217" spans="2:9" ht="15" thickBot="1" x14ac:dyDescent="0.25">
      <c r="B217" s="62">
        <f>1+MAX($B$3:B216)</f>
        <v>70</v>
      </c>
      <c r="C217" s="107">
        <v>155215121</v>
      </c>
      <c r="D217" s="63" t="s">
        <v>127</v>
      </c>
      <c r="E217" s="64" t="s">
        <v>196</v>
      </c>
      <c r="F217" s="109" t="s">
        <v>23</v>
      </c>
      <c r="G217" s="110">
        <f>G220</f>
        <v>180</v>
      </c>
      <c r="H217" s="125"/>
      <c r="I217" s="67">
        <f>G217*H217</f>
        <v>0</v>
      </c>
    </row>
    <row r="218" spans="2:9" ht="12" x14ac:dyDescent="0.2">
      <c r="B218" s="68"/>
      <c r="C218" s="111"/>
      <c r="D218" s="111"/>
      <c r="E218" s="70" t="s">
        <v>197</v>
      </c>
      <c r="F218" s="111"/>
      <c r="G218" s="113"/>
      <c r="H218" s="72"/>
      <c r="I218" s="73"/>
    </row>
    <row r="219" spans="2:9" ht="48.75" thickBot="1" x14ac:dyDescent="0.25">
      <c r="B219" s="74"/>
      <c r="C219" s="75"/>
      <c r="D219" s="75"/>
      <c r="E219" s="76" t="s">
        <v>214</v>
      </c>
      <c r="F219" s="75"/>
      <c r="G219" s="90"/>
      <c r="H219" s="78"/>
      <c r="I219" s="79"/>
    </row>
    <row r="220" spans="2:9" ht="27" customHeight="1" thickBot="1" x14ac:dyDescent="0.25">
      <c r="B220" s="62">
        <f>1+MAX($B$3:B219)</f>
        <v>71</v>
      </c>
      <c r="C220" s="63" t="s">
        <v>198</v>
      </c>
      <c r="D220" s="65" t="s">
        <v>75</v>
      </c>
      <c r="E220" s="64" t="s">
        <v>199</v>
      </c>
      <c r="F220" s="65" t="s">
        <v>23</v>
      </c>
      <c r="G220" s="66">
        <f>40*4.5</f>
        <v>180</v>
      </c>
      <c r="H220" s="125"/>
      <c r="I220" s="67">
        <f>G220*H220</f>
        <v>0</v>
      </c>
    </row>
    <row r="221" spans="2:9" ht="12" x14ac:dyDescent="0.2">
      <c r="B221" s="68"/>
      <c r="C221" s="69"/>
      <c r="D221" s="69"/>
      <c r="E221" s="70" t="s">
        <v>209</v>
      </c>
      <c r="F221" s="69"/>
      <c r="G221" s="92"/>
      <c r="H221" s="72"/>
      <c r="I221" s="73"/>
    </row>
    <row r="222" spans="2:9" ht="60.75" thickBot="1" x14ac:dyDescent="0.25">
      <c r="B222" s="74"/>
      <c r="C222" s="75"/>
      <c r="D222" s="75"/>
      <c r="E222" s="76" t="s">
        <v>324</v>
      </c>
      <c r="F222" s="75"/>
      <c r="G222" s="90"/>
      <c r="H222" s="78"/>
      <c r="I222" s="79"/>
    </row>
    <row r="223" spans="2:9" ht="15" thickBot="1" x14ac:dyDescent="0.25">
      <c r="B223" s="62">
        <f>1+MAX($B$3:B222)</f>
        <v>72</v>
      </c>
      <c r="C223" s="63" t="s">
        <v>200</v>
      </c>
      <c r="D223" s="65" t="s">
        <v>75</v>
      </c>
      <c r="E223" s="81" t="s">
        <v>316</v>
      </c>
      <c r="F223" s="65" t="s">
        <v>23</v>
      </c>
      <c r="G223" s="66">
        <f>CEILING(G220*1.2,1)</f>
        <v>216</v>
      </c>
      <c r="H223" s="125"/>
      <c r="I223" s="67">
        <f>G223*H223</f>
        <v>0</v>
      </c>
    </row>
    <row r="224" spans="2:9" ht="14.25" x14ac:dyDescent="0.2">
      <c r="B224" s="68"/>
      <c r="C224" s="69"/>
      <c r="D224" s="69"/>
      <c r="E224" s="70" t="s">
        <v>313</v>
      </c>
      <c r="F224" s="69"/>
      <c r="G224" s="92"/>
      <c r="H224" s="72"/>
      <c r="I224" s="73"/>
    </row>
    <row r="225" spans="2:9" ht="36.75" thickBot="1" x14ac:dyDescent="0.25">
      <c r="B225" s="74"/>
      <c r="C225" s="75"/>
      <c r="D225" s="75"/>
      <c r="E225" s="76" t="s">
        <v>323</v>
      </c>
      <c r="F225" s="75"/>
      <c r="G225" s="90"/>
      <c r="H225" s="78"/>
      <c r="I225" s="79"/>
    </row>
    <row r="226" spans="2:9" ht="24.75" thickBot="1" x14ac:dyDescent="0.25">
      <c r="B226" s="62">
        <f>1+MAX($B$3:B225)</f>
        <v>73</v>
      </c>
      <c r="C226" s="63" t="s">
        <v>314</v>
      </c>
      <c r="D226" s="65" t="s">
        <v>75</v>
      </c>
      <c r="E226" s="81" t="s">
        <v>210</v>
      </c>
      <c r="F226" s="65" t="s">
        <v>23</v>
      </c>
      <c r="G226" s="66">
        <f>CEILING((1*8)*1.3*1.2,1)</f>
        <v>13</v>
      </c>
      <c r="H226" s="125"/>
      <c r="I226" s="67">
        <f>G226*H226</f>
        <v>0</v>
      </c>
    </row>
    <row r="227" spans="2:9" ht="27.75" customHeight="1" x14ac:dyDescent="0.2">
      <c r="B227" s="68"/>
      <c r="C227" s="69"/>
      <c r="D227" s="69"/>
      <c r="E227" s="70" t="s">
        <v>211</v>
      </c>
      <c r="F227" s="69"/>
      <c r="G227" s="92"/>
      <c r="H227" s="72"/>
      <c r="I227" s="73"/>
    </row>
    <row r="228" spans="2:9" ht="36.75" thickBot="1" x14ac:dyDescent="0.25">
      <c r="B228" s="74"/>
      <c r="C228" s="75"/>
      <c r="D228" s="75"/>
      <c r="E228" s="76" t="s">
        <v>212</v>
      </c>
      <c r="F228" s="75"/>
      <c r="G228" s="90"/>
      <c r="H228" s="78"/>
      <c r="I228" s="79"/>
    </row>
    <row r="229" spans="2:9" thickBot="1" x14ac:dyDescent="0.25">
      <c r="B229" s="62">
        <f>1+MAX($B$3:B228)</f>
        <v>74</v>
      </c>
      <c r="C229" s="109">
        <v>155214212</v>
      </c>
      <c r="D229" s="63" t="s">
        <v>127</v>
      </c>
      <c r="E229" s="116" t="s">
        <v>201</v>
      </c>
      <c r="F229" s="109" t="s">
        <v>8</v>
      </c>
      <c r="G229" s="110">
        <f>CEILING((8+1)*2*1.3,1)</f>
        <v>24</v>
      </c>
      <c r="H229" s="127"/>
      <c r="I229" s="67">
        <f>G229*H229</f>
        <v>0</v>
      </c>
    </row>
    <row r="230" spans="2:9" ht="12" x14ac:dyDescent="0.2">
      <c r="B230" s="68"/>
      <c r="C230" s="111"/>
      <c r="D230" s="111"/>
      <c r="E230" s="112" t="s">
        <v>213</v>
      </c>
      <c r="F230" s="111"/>
      <c r="G230" s="113"/>
      <c r="H230" s="114"/>
      <c r="I230" s="115"/>
    </row>
    <row r="231" spans="2:9" ht="24.75" thickBot="1" x14ac:dyDescent="0.25">
      <c r="B231" s="74"/>
      <c r="C231" s="75"/>
      <c r="D231" s="75"/>
      <c r="E231" s="76" t="s">
        <v>202</v>
      </c>
      <c r="F231" s="75"/>
      <c r="G231" s="90"/>
      <c r="H231" s="78"/>
      <c r="I231" s="79"/>
    </row>
    <row r="232" spans="2:9" thickBot="1" x14ac:dyDescent="0.25">
      <c r="B232" s="62">
        <f>1+MAX($B$3:B231)</f>
        <v>75</v>
      </c>
      <c r="C232" s="65" t="s">
        <v>203</v>
      </c>
      <c r="D232" s="65" t="s">
        <v>75</v>
      </c>
      <c r="E232" s="81" t="s">
        <v>204</v>
      </c>
      <c r="F232" s="65" t="s">
        <v>8</v>
      </c>
      <c r="G232" s="66">
        <f>CEILING(G229*1.2,1)</f>
        <v>29</v>
      </c>
      <c r="H232" s="125"/>
      <c r="I232" s="67">
        <f>G232*H232</f>
        <v>0</v>
      </c>
    </row>
    <row r="233" spans="2:9" ht="12" x14ac:dyDescent="0.2">
      <c r="B233" s="68"/>
      <c r="C233" s="69"/>
      <c r="D233" s="69"/>
      <c r="E233" s="70" t="s">
        <v>205</v>
      </c>
      <c r="F233" s="69"/>
      <c r="G233" s="92"/>
      <c r="H233" s="72"/>
      <c r="I233" s="73"/>
    </row>
    <row r="234" spans="2:9" ht="24.75" thickBot="1" x14ac:dyDescent="0.25">
      <c r="B234" s="74"/>
      <c r="C234" s="75"/>
      <c r="D234" s="75"/>
      <c r="E234" s="76" t="s">
        <v>216</v>
      </c>
      <c r="F234" s="75"/>
      <c r="G234" s="90"/>
      <c r="H234" s="78"/>
      <c r="I234" s="79"/>
    </row>
    <row r="235" spans="2:9" ht="12.95" customHeight="1" thickBot="1" x14ac:dyDescent="0.25">
      <c r="B235" s="117"/>
      <c r="C235" s="58"/>
      <c r="D235" s="58"/>
      <c r="E235" s="100" t="s">
        <v>158</v>
      </c>
      <c r="F235" s="58"/>
      <c r="G235" s="58"/>
      <c r="H235" s="118"/>
      <c r="I235" s="61">
        <f>SUM(I236:I274)</f>
        <v>0</v>
      </c>
    </row>
    <row r="236" spans="2:9" ht="24.75" thickBot="1" x14ac:dyDescent="0.25">
      <c r="B236" s="62">
        <f>1+MAX($B$3:B235)</f>
        <v>76</v>
      </c>
      <c r="C236" s="83">
        <v>155212346</v>
      </c>
      <c r="D236" s="63" t="s">
        <v>127</v>
      </c>
      <c r="E236" s="84" t="s">
        <v>81</v>
      </c>
      <c r="F236" s="83" t="s">
        <v>8</v>
      </c>
      <c r="G236" s="119">
        <f>CEILING(G245*1.2,0.1)</f>
        <v>32.4</v>
      </c>
      <c r="H236" s="125"/>
      <c r="I236" s="67">
        <f>G236*H236</f>
        <v>0</v>
      </c>
    </row>
    <row r="237" spans="2:9" ht="12" x14ac:dyDescent="0.2">
      <c r="B237" s="68"/>
      <c r="C237" s="69"/>
      <c r="D237" s="69"/>
      <c r="E237" s="70" t="s">
        <v>84</v>
      </c>
      <c r="F237" s="69"/>
      <c r="G237" s="92"/>
      <c r="H237" s="72"/>
      <c r="I237" s="73"/>
    </row>
    <row r="238" spans="2:9" ht="36.75" thickBot="1" x14ac:dyDescent="0.25">
      <c r="B238" s="74"/>
      <c r="C238" s="75"/>
      <c r="D238" s="75"/>
      <c r="E238" s="76" t="s">
        <v>107</v>
      </c>
      <c r="F238" s="75"/>
      <c r="G238" s="90"/>
      <c r="H238" s="78"/>
      <c r="I238" s="79"/>
    </row>
    <row r="239" spans="2:9" ht="26.1" customHeight="1" thickBot="1" x14ac:dyDescent="0.25">
      <c r="B239" s="62">
        <f>1+MAX($B$3:B238)</f>
        <v>77</v>
      </c>
      <c r="C239" s="63" t="s">
        <v>306</v>
      </c>
      <c r="D239" s="65" t="s">
        <v>75</v>
      </c>
      <c r="E239" s="64" t="s">
        <v>307</v>
      </c>
      <c r="F239" s="65" t="s">
        <v>38</v>
      </c>
      <c r="G239" s="119">
        <f>CEILING(((G245+G251)*0.5*0.5*0.7)*1.2,0.1)</f>
        <v>10.8</v>
      </c>
      <c r="H239" s="125"/>
      <c r="I239" s="67">
        <f>G239*H239</f>
        <v>0</v>
      </c>
    </row>
    <row r="240" spans="2:9" ht="26.25" x14ac:dyDescent="0.2">
      <c r="B240" s="68"/>
      <c r="C240" s="69"/>
      <c r="D240" s="69"/>
      <c r="E240" s="70" t="s">
        <v>85</v>
      </c>
      <c r="F240" s="69"/>
      <c r="G240" s="92"/>
      <c r="H240" s="72"/>
      <c r="I240" s="73"/>
    </row>
    <row r="241" spans="2:9" ht="60.75" thickBot="1" x14ac:dyDescent="0.25">
      <c r="B241" s="74"/>
      <c r="C241" s="75"/>
      <c r="D241" s="75"/>
      <c r="E241" s="76" t="s">
        <v>340</v>
      </c>
      <c r="F241" s="75"/>
      <c r="G241" s="90"/>
      <c r="H241" s="78"/>
      <c r="I241" s="79"/>
    </row>
    <row r="242" spans="2:9" ht="24.75" thickBot="1" x14ac:dyDescent="0.25">
      <c r="B242" s="62">
        <f>1+MAX($B$3:B241)</f>
        <v>78</v>
      </c>
      <c r="C242" s="83">
        <v>275311127</v>
      </c>
      <c r="D242" s="63" t="s">
        <v>127</v>
      </c>
      <c r="E242" s="84" t="s">
        <v>48</v>
      </c>
      <c r="F242" s="65" t="s">
        <v>38</v>
      </c>
      <c r="G242" s="119">
        <f>G239</f>
        <v>10.8</v>
      </c>
      <c r="H242" s="125"/>
      <c r="I242" s="67">
        <f>G242*H242</f>
        <v>0</v>
      </c>
    </row>
    <row r="243" spans="2:9" ht="12" x14ac:dyDescent="0.2">
      <c r="B243" s="68"/>
      <c r="C243" s="69"/>
      <c r="D243" s="69"/>
      <c r="E243" s="70" t="s">
        <v>82</v>
      </c>
      <c r="F243" s="69"/>
      <c r="G243" s="92"/>
      <c r="H243" s="72"/>
      <c r="I243" s="73"/>
    </row>
    <row r="244" spans="2:9" ht="24.75" thickBot="1" x14ac:dyDescent="0.25">
      <c r="B244" s="74"/>
      <c r="C244" s="75"/>
      <c r="D244" s="75"/>
      <c r="E244" s="76" t="s">
        <v>94</v>
      </c>
      <c r="F244" s="75"/>
      <c r="G244" s="90"/>
      <c r="H244" s="78"/>
      <c r="I244" s="79"/>
    </row>
    <row r="245" spans="2:9" ht="26.1" customHeight="1" thickBot="1" x14ac:dyDescent="0.25">
      <c r="B245" s="62">
        <f>1+MAX($B$3:B244)</f>
        <v>79</v>
      </c>
      <c r="C245" s="83">
        <v>155214411</v>
      </c>
      <c r="D245" s="63" t="s">
        <v>127</v>
      </c>
      <c r="E245" s="84" t="s">
        <v>52</v>
      </c>
      <c r="F245" s="87" t="s">
        <v>121</v>
      </c>
      <c r="G245" s="119">
        <f>CEILING((27+9+9+9+12)/3+5,1)</f>
        <v>27</v>
      </c>
      <c r="H245" s="125"/>
      <c r="I245" s="67">
        <f>G245*H245</f>
        <v>0</v>
      </c>
    </row>
    <row r="246" spans="2:9" ht="12" x14ac:dyDescent="0.2">
      <c r="B246" s="68"/>
      <c r="C246" s="69"/>
      <c r="D246" s="69"/>
      <c r="E246" s="70" t="s">
        <v>122</v>
      </c>
      <c r="F246" s="69"/>
      <c r="G246" s="93"/>
      <c r="H246" s="72"/>
      <c r="I246" s="73"/>
    </row>
    <row r="247" spans="2:9" ht="48.75" thickBot="1" x14ac:dyDescent="0.25">
      <c r="B247" s="74"/>
      <c r="C247" s="75"/>
      <c r="D247" s="75"/>
      <c r="E247" s="76" t="s">
        <v>108</v>
      </c>
      <c r="F247" s="75"/>
      <c r="G247" s="90"/>
      <c r="H247" s="78"/>
      <c r="I247" s="79"/>
    </row>
    <row r="248" spans="2:9" ht="24.75" thickBot="1" x14ac:dyDescent="0.25">
      <c r="B248" s="62">
        <f>1+MAX($B$3:B247)</f>
        <v>80</v>
      </c>
      <c r="C248" s="83">
        <v>155214511</v>
      </c>
      <c r="D248" s="63" t="s">
        <v>127</v>
      </c>
      <c r="E248" s="81" t="s">
        <v>53</v>
      </c>
      <c r="F248" s="87" t="s">
        <v>121</v>
      </c>
      <c r="G248" s="119">
        <f>CEILING(G245+(2*5),1)</f>
        <v>37</v>
      </c>
      <c r="H248" s="125"/>
      <c r="I248" s="67">
        <f>G248*H248</f>
        <v>0</v>
      </c>
    </row>
    <row r="249" spans="2:9" ht="12" x14ac:dyDescent="0.2">
      <c r="B249" s="68"/>
      <c r="C249" s="69"/>
      <c r="D249" s="69"/>
      <c r="E249" s="70" t="s">
        <v>123</v>
      </c>
      <c r="F249" s="69"/>
      <c r="G249" s="92"/>
      <c r="H249" s="72"/>
      <c r="I249" s="73"/>
    </row>
    <row r="250" spans="2:9" ht="26.1" customHeight="1" thickBot="1" x14ac:dyDescent="0.25">
      <c r="B250" s="74"/>
      <c r="C250" s="75"/>
      <c r="D250" s="75"/>
      <c r="E250" s="76" t="s">
        <v>109</v>
      </c>
      <c r="F250" s="75"/>
      <c r="G250" s="90"/>
      <c r="H250" s="78"/>
      <c r="I250" s="79"/>
    </row>
    <row r="251" spans="2:9" ht="24.75" thickBot="1" x14ac:dyDescent="0.25">
      <c r="B251" s="62">
        <f>1+MAX($B$3:B250)</f>
        <v>81</v>
      </c>
      <c r="C251" s="83">
        <v>155213611</v>
      </c>
      <c r="D251" s="63" t="s">
        <v>127</v>
      </c>
      <c r="E251" s="81" t="s">
        <v>54</v>
      </c>
      <c r="F251" s="87" t="s">
        <v>121</v>
      </c>
      <c r="G251" s="119">
        <f>CEILING(G245/2+(2*5),1)</f>
        <v>24</v>
      </c>
      <c r="H251" s="125"/>
      <c r="I251" s="67">
        <f>G251*H251</f>
        <v>0</v>
      </c>
    </row>
    <row r="252" spans="2:9" ht="12" x14ac:dyDescent="0.2">
      <c r="B252" s="68"/>
      <c r="C252" s="69"/>
      <c r="D252" s="69"/>
      <c r="E252" s="70" t="s">
        <v>124</v>
      </c>
      <c r="F252" s="69"/>
      <c r="G252" s="92"/>
      <c r="H252" s="72"/>
      <c r="I252" s="73"/>
    </row>
    <row r="253" spans="2:9" ht="48.75" thickBot="1" x14ac:dyDescent="0.25">
      <c r="B253" s="74"/>
      <c r="C253" s="75"/>
      <c r="D253" s="75"/>
      <c r="E253" s="76" t="s">
        <v>272</v>
      </c>
      <c r="F253" s="75"/>
      <c r="G253" s="90"/>
      <c r="H253" s="78"/>
      <c r="I253" s="79"/>
    </row>
    <row r="254" spans="2:9" thickBot="1" x14ac:dyDescent="0.25">
      <c r="B254" s="62">
        <f>1+MAX($B$3:B253)</f>
        <v>82</v>
      </c>
      <c r="C254" s="65" t="s">
        <v>76</v>
      </c>
      <c r="D254" s="65" t="s">
        <v>75</v>
      </c>
      <c r="E254" s="64" t="s">
        <v>91</v>
      </c>
      <c r="F254" s="87" t="s">
        <v>121</v>
      </c>
      <c r="G254" s="66">
        <f>G251</f>
        <v>24</v>
      </c>
      <c r="H254" s="125"/>
      <c r="I254" s="67">
        <f>G254*H254</f>
        <v>0</v>
      </c>
    </row>
    <row r="255" spans="2:9" ht="12" x14ac:dyDescent="0.2">
      <c r="B255" s="68"/>
      <c r="C255" s="69"/>
      <c r="D255" s="69"/>
      <c r="E255" s="70" t="s">
        <v>62</v>
      </c>
      <c r="F255" s="69"/>
      <c r="G255" s="92"/>
      <c r="H255" s="72"/>
      <c r="I255" s="73"/>
    </row>
    <row r="256" spans="2:9" ht="12.95" customHeight="1" thickBot="1" x14ac:dyDescent="0.25">
      <c r="B256" s="74"/>
      <c r="C256" s="75"/>
      <c r="D256" s="75"/>
      <c r="E256" s="76" t="s">
        <v>92</v>
      </c>
      <c r="F256" s="75"/>
      <c r="G256" s="90"/>
      <c r="H256" s="78"/>
      <c r="I256" s="79"/>
    </row>
    <row r="257" spans="2:9" ht="15" thickBot="1" x14ac:dyDescent="0.25">
      <c r="B257" s="62">
        <f>1+MAX($B$3:B256)</f>
        <v>83</v>
      </c>
      <c r="C257" s="65">
        <v>789321110</v>
      </c>
      <c r="D257" s="63" t="s">
        <v>127</v>
      </c>
      <c r="E257" s="81" t="s">
        <v>49</v>
      </c>
      <c r="F257" s="65" t="s">
        <v>23</v>
      </c>
      <c r="G257" s="119">
        <f>CEILING(((G245*((2*(PI()*(0.089^2)/4))+(PI()*0.089))*3)+(G251*((2*(PI()*(0.032^2)/4))+(PI()*0.032))*1.3*1.5))*1.2,1)</f>
        <v>35</v>
      </c>
      <c r="H257" s="125"/>
      <c r="I257" s="67">
        <f>G257*H257</f>
        <v>0</v>
      </c>
    </row>
    <row r="258" spans="2:9" ht="26.25" x14ac:dyDescent="0.2">
      <c r="B258" s="68"/>
      <c r="C258" s="69"/>
      <c r="D258" s="69"/>
      <c r="E258" s="70" t="s">
        <v>95</v>
      </c>
      <c r="F258" s="69"/>
      <c r="G258" s="97"/>
      <c r="H258" s="72"/>
      <c r="I258" s="73"/>
    </row>
    <row r="259" spans="2:9" ht="39" thickBot="1" x14ac:dyDescent="0.25">
      <c r="B259" s="74"/>
      <c r="C259" s="75"/>
      <c r="D259" s="75"/>
      <c r="E259" s="76" t="s">
        <v>86</v>
      </c>
      <c r="F259" s="75"/>
      <c r="G259" s="90"/>
      <c r="H259" s="78"/>
      <c r="I259" s="79"/>
    </row>
    <row r="260" spans="2:9" ht="15" thickBot="1" x14ac:dyDescent="0.25">
      <c r="B260" s="62">
        <f>1+MAX($B$3:B259)</f>
        <v>84</v>
      </c>
      <c r="C260" s="83">
        <v>789321120</v>
      </c>
      <c r="D260" s="63" t="s">
        <v>127</v>
      </c>
      <c r="E260" s="84" t="s">
        <v>34</v>
      </c>
      <c r="F260" s="65" t="s">
        <v>23</v>
      </c>
      <c r="G260" s="119">
        <f>CEILING(((G245*((2*(PI()*(0.089^2)/4))+(PI()*0.089))*2.3)+(G251*((2*(PI()*(0.032^2)/4))+(PI()*0.032))*1.3*0.4))*2*1.2,1)</f>
        <v>47</v>
      </c>
      <c r="H260" s="125"/>
      <c r="I260" s="67">
        <f>G260*H260</f>
        <v>0</v>
      </c>
    </row>
    <row r="261" spans="2:9" ht="38.25" x14ac:dyDescent="0.2">
      <c r="B261" s="68"/>
      <c r="C261" s="69"/>
      <c r="D261" s="69"/>
      <c r="E261" s="70" t="s">
        <v>96</v>
      </c>
      <c r="F261" s="69"/>
      <c r="G261" s="92"/>
      <c r="H261" s="72"/>
      <c r="I261" s="73"/>
    </row>
    <row r="262" spans="2:9" ht="36.75" thickBot="1" x14ac:dyDescent="0.25">
      <c r="B262" s="74"/>
      <c r="C262" s="75"/>
      <c r="D262" s="75"/>
      <c r="E262" s="76" t="s">
        <v>217</v>
      </c>
      <c r="F262" s="75"/>
      <c r="G262" s="90"/>
      <c r="H262" s="78"/>
      <c r="I262" s="79"/>
    </row>
    <row r="263" spans="2:9" ht="15" thickBot="1" x14ac:dyDescent="0.25">
      <c r="B263" s="62">
        <f>1+MAX($B$3:B262)</f>
        <v>85</v>
      </c>
      <c r="C263" s="83">
        <v>155214521</v>
      </c>
      <c r="D263" s="63" t="s">
        <v>127</v>
      </c>
      <c r="E263" s="84" t="s">
        <v>43</v>
      </c>
      <c r="F263" s="65" t="s">
        <v>23</v>
      </c>
      <c r="G263" s="119">
        <f>CEILING((27+9+9+9+12)*2,1)</f>
        <v>132</v>
      </c>
      <c r="H263" s="125"/>
      <c r="I263" s="67">
        <f>G263*H263</f>
        <v>0</v>
      </c>
    </row>
    <row r="264" spans="2:9" ht="14.25" x14ac:dyDescent="0.2">
      <c r="B264" s="68"/>
      <c r="C264" s="69"/>
      <c r="D264" s="69"/>
      <c r="E264" s="70" t="s">
        <v>125</v>
      </c>
      <c r="F264" s="69"/>
      <c r="G264" s="92"/>
      <c r="H264" s="72"/>
      <c r="I264" s="73"/>
    </row>
    <row r="265" spans="2:9" ht="60.75" thickBot="1" x14ac:dyDescent="0.25">
      <c r="B265" s="74"/>
      <c r="C265" s="75"/>
      <c r="D265" s="75"/>
      <c r="E265" s="76" t="s">
        <v>104</v>
      </c>
      <c r="F265" s="75"/>
      <c r="G265" s="90"/>
      <c r="H265" s="78"/>
      <c r="I265" s="79"/>
    </row>
    <row r="266" spans="2:9" ht="15" thickBot="1" x14ac:dyDescent="0.25">
      <c r="B266" s="62">
        <f>1+MAX($B$3:B265)</f>
        <v>86</v>
      </c>
      <c r="C266" s="83">
        <v>31319110</v>
      </c>
      <c r="D266" s="63" t="s">
        <v>127</v>
      </c>
      <c r="E266" s="84" t="s">
        <v>315</v>
      </c>
      <c r="F266" s="65" t="s">
        <v>23</v>
      </c>
      <c r="G266" s="119">
        <f>CEILING(G263*1.2,1)</f>
        <v>159</v>
      </c>
      <c r="H266" s="125"/>
      <c r="I266" s="67">
        <f>G266*H266</f>
        <v>0</v>
      </c>
    </row>
    <row r="267" spans="2:9" ht="14.25" x14ac:dyDescent="0.2">
      <c r="B267" s="68"/>
      <c r="C267" s="69"/>
      <c r="D267" s="69"/>
      <c r="E267" s="70" t="s">
        <v>63</v>
      </c>
      <c r="F267" s="69"/>
      <c r="G267" s="92"/>
      <c r="H267" s="72"/>
      <c r="I267" s="73"/>
    </row>
    <row r="268" spans="2:9" ht="24.75" thickBot="1" x14ac:dyDescent="0.25">
      <c r="B268" s="74"/>
      <c r="C268" s="75"/>
      <c r="D268" s="75"/>
      <c r="E268" s="76" t="s">
        <v>93</v>
      </c>
      <c r="F268" s="75"/>
      <c r="G268" s="90"/>
      <c r="H268" s="78"/>
      <c r="I268" s="79"/>
    </row>
    <row r="269" spans="2:9" thickBot="1" x14ac:dyDescent="0.25">
      <c r="B269" s="62">
        <f>1+MAX($B$3:B268)</f>
        <v>87</v>
      </c>
      <c r="C269" s="83">
        <v>155214525</v>
      </c>
      <c r="D269" s="63" t="s">
        <v>127</v>
      </c>
      <c r="E269" s="84" t="s">
        <v>55</v>
      </c>
      <c r="F269" s="83" t="s">
        <v>8</v>
      </c>
      <c r="G269" s="119">
        <f>CEILING((27+9+9+9+12)*5+(3*2.5*2*5),1)</f>
        <v>405</v>
      </c>
      <c r="H269" s="125"/>
      <c r="I269" s="67">
        <f>G269*H269</f>
        <v>0</v>
      </c>
    </row>
    <row r="270" spans="2:9" ht="12" x14ac:dyDescent="0.2">
      <c r="B270" s="68"/>
      <c r="C270" s="69"/>
      <c r="D270" s="69"/>
      <c r="E270" s="70" t="s">
        <v>126</v>
      </c>
      <c r="F270" s="69"/>
      <c r="G270" s="92"/>
      <c r="H270" s="72"/>
      <c r="I270" s="73"/>
    </row>
    <row r="271" spans="2:9" ht="48.75" thickBot="1" x14ac:dyDescent="0.25">
      <c r="B271" s="74"/>
      <c r="C271" s="75"/>
      <c r="D271" s="75"/>
      <c r="E271" s="76" t="s">
        <v>103</v>
      </c>
      <c r="F271" s="75"/>
      <c r="G271" s="90"/>
      <c r="H271" s="78"/>
      <c r="I271" s="79"/>
    </row>
    <row r="272" spans="2:9" thickBot="1" x14ac:dyDescent="0.25">
      <c r="B272" s="62">
        <f>1+MAX($B$3:B271)</f>
        <v>88</v>
      </c>
      <c r="C272" s="83">
        <v>31452107</v>
      </c>
      <c r="D272" s="63" t="s">
        <v>127</v>
      </c>
      <c r="E272" s="81" t="s">
        <v>37</v>
      </c>
      <c r="F272" s="83" t="s">
        <v>8</v>
      </c>
      <c r="G272" s="119">
        <f>CEILING(G269*1.2,1)</f>
        <v>486</v>
      </c>
      <c r="H272" s="125"/>
      <c r="I272" s="67">
        <f>G272*H272</f>
        <v>0</v>
      </c>
    </row>
    <row r="273" spans="2:9" ht="12" x14ac:dyDescent="0.2">
      <c r="B273" s="68"/>
      <c r="C273" s="69"/>
      <c r="D273" s="69"/>
      <c r="E273" s="70" t="s">
        <v>64</v>
      </c>
      <c r="F273" s="69"/>
      <c r="G273" s="92"/>
      <c r="H273" s="72"/>
      <c r="I273" s="73"/>
    </row>
    <row r="274" spans="2:9" ht="24.75" thickBot="1" x14ac:dyDescent="0.25">
      <c r="B274" s="74"/>
      <c r="C274" s="75"/>
      <c r="D274" s="75"/>
      <c r="E274" s="76" t="s">
        <v>57</v>
      </c>
      <c r="F274" s="75"/>
      <c r="G274" s="90"/>
      <c r="H274" s="78"/>
      <c r="I274" s="79"/>
    </row>
    <row r="275" spans="2:9" ht="13.5" thickBot="1" x14ac:dyDescent="0.25">
      <c r="B275" s="117"/>
      <c r="C275" s="58"/>
      <c r="D275" s="58"/>
      <c r="E275" s="100" t="s">
        <v>128</v>
      </c>
      <c r="F275" s="58"/>
      <c r="G275" s="58"/>
      <c r="H275" s="118"/>
      <c r="I275" s="61">
        <f>SUM(I276:I278)</f>
        <v>0</v>
      </c>
    </row>
    <row r="276" spans="2:9" thickBot="1" x14ac:dyDescent="0.25">
      <c r="B276" s="62">
        <f>1+MAX($B$3:B275)</f>
        <v>89</v>
      </c>
      <c r="C276" s="65" t="s">
        <v>31</v>
      </c>
      <c r="D276" s="65" t="s">
        <v>74</v>
      </c>
      <c r="E276" s="81" t="s">
        <v>130</v>
      </c>
      <c r="F276" s="87" t="s">
        <v>121</v>
      </c>
      <c r="G276" s="66">
        <f>2</f>
        <v>2</v>
      </c>
      <c r="H276" s="125"/>
      <c r="I276" s="67">
        <f>G276*H276</f>
        <v>0</v>
      </c>
    </row>
    <row r="277" spans="2:9" ht="12" x14ac:dyDescent="0.2">
      <c r="B277" s="68"/>
      <c r="C277" s="69"/>
      <c r="D277" s="69"/>
      <c r="E277" s="70" t="s">
        <v>330</v>
      </c>
      <c r="F277" s="69"/>
      <c r="G277" s="92"/>
      <c r="H277" s="72"/>
      <c r="I277" s="73"/>
    </row>
    <row r="278" spans="2:9" thickBot="1" x14ac:dyDescent="0.25">
      <c r="B278" s="74"/>
      <c r="C278" s="75"/>
      <c r="D278" s="75"/>
      <c r="E278" s="76" t="s">
        <v>131</v>
      </c>
      <c r="F278" s="75"/>
      <c r="G278" s="90"/>
      <c r="H278" s="78"/>
      <c r="I278" s="79"/>
    </row>
    <row r="279" spans="2:9" ht="13.5" thickBot="1" x14ac:dyDescent="0.25">
      <c r="B279" s="117"/>
      <c r="C279" s="58"/>
      <c r="D279" s="58"/>
      <c r="E279" s="100" t="s">
        <v>45</v>
      </c>
      <c r="F279" s="58"/>
      <c r="G279" s="58"/>
      <c r="H279" s="118"/>
      <c r="I279" s="61">
        <f>SUM(I280:I291)</f>
        <v>0</v>
      </c>
    </row>
    <row r="280" spans="2:9" thickBot="1" x14ac:dyDescent="0.25">
      <c r="B280" s="62">
        <f>1+MAX($B$3:B279)</f>
        <v>90</v>
      </c>
      <c r="C280" s="65" t="s">
        <v>294</v>
      </c>
      <c r="D280" s="65" t="s">
        <v>75</v>
      </c>
      <c r="E280" s="81" t="s">
        <v>295</v>
      </c>
      <c r="F280" s="65" t="s">
        <v>46</v>
      </c>
      <c r="G280" s="66">
        <f>CEILING((G44-G47)*2.6,0.01)</f>
        <v>54.6</v>
      </c>
      <c r="H280" s="125"/>
      <c r="I280" s="67">
        <f>G280*H280</f>
        <v>0</v>
      </c>
    </row>
    <row r="281" spans="2:9" ht="12" x14ac:dyDescent="0.2">
      <c r="B281" s="68"/>
      <c r="C281" s="69"/>
      <c r="D281" s="69"/>
      <c r="E281" s="70" t="s">
        <v>281</v>
      </c>
      <c r="F281" s="69"/>
      <c r="G281" s="71"/>
      <c r="H281" s="72"/>
      <c r="I281" s="73"/>
    </row>
    <row r="282" spans="2:9" ht="24.75" thickBot="1" x14ac:dyDescent="0.25">
      <c r="B282" s="74"/>
      <c r="C282" s="75"/>
      <c r="D282" s="75"/>
      <c r="E282" s="120" t="s">
        <v>296</v>
      </c>
      <c r="F282" s="75"/>
      <c r="G282" s="90"/>
      <c r="H282" s="78"/>
      <c r="I282" s="79"/>
    </row>
    <row r="283" spans="2:9" ht="12.95" customHeight="1" thickBot="1" x14ac:dyDescent="0.25">
      <c r="B283" s="62">
        <f>1+MAX($B$3:B282)</f>
        <v>91</v>
      </c>
      <c r="C283" s="83" t="s">
        <v>273</v>
      </c>
      <c r="D283" s="63" t="s">
        <v>127</v>
      </c>
      <c r="E283" s="81" t="s">
        <v>274</v>
      </c>
      <c r="F283" s="83" t="s">
        <v>46</v>
      </c>
      <c r="G283" s="66">
        <f>CEILING(((G251*1.5+G119*2+(G132+G168)*3+G135*5)*0.0036)+((G116*0.6+(G23+G193)*3)*0.00385)+(G88*3*0.00483)+((G196+G199)*3*0.00631)+(G254*0.0005)+((G29+G32)*0.0004)+(G5*0.012)+(G8*0.05)+(G11*0.03)+((G184+G187)*0.0013)+(G156*0.0006)+(G266*0.00118)+(G223*0.00155)+(G147*0.00208)+((G150+G226)*0.00117)+(G162*0.00021+(G38+G165+G272)*0.00032+G232*0.00103)+(G245*3*0.0195)+(G214*0.02503)+(G220*0.04505)+((G104+G190+G242+40.8)*2.3),0.01)</f>
        <v>195.1</v>
      </c>
      <c r="H283" s="125"/>
      <c r="I283" s="67">
        <f>G283*H283</f>
        <v>0</v>
      </c>
    </row>
    <row r="284" spans="2:9" ht="186" customHeight="1" x14ac:dyDescent="0.2">
      <c r="B284" s="68"/>
      <c r="C284" s="69"/>
      <c r="D284" s="69"/>
      <c r="E284" s="70" t="s">
        <v>325</v>
      </c>
      <c r="F284" s="121"/>
      <c r="G284" s="122"/>
      <c r="H284" s="72"/>
      <c r="I284" s="73"/>
    </row>
    <row r="285" spans="2:9" thickBot="1" x14ac:dyDescent="0.25">
      <c r="B285" s="68"/>
      <c r="C285" s="69"/>
      <c r="D285" s="69"/>
      <c r="E285" s="120" t="s">
        <v>65</v>
      </c>
      <c r="F285" s="69"/>
      <c r="G285" s="92"/>
      <c r="H285" s="72"/>
      <c r="I285" s="73"/>
    </row>
    <row r="286" spans="2:9" ht="24.75" thickBot="1" x14ac:dyDescent="0.25">
      <c r="B286" s="62">
        <f>1+MAX($B$3:B285)</f>
        <v>92</v>
      </c>
      <c r="C286" s="83">
        <v>998153131</v>
      </c>
      <c r="D286" s="63" t="s">
        <v>127</v>
      </c>
      <c r="E286" s="81" t="s">
        <v>275</v>
      </c>
      <c r="F286" s="83" t="s">
        <v>46</v>
      </c>
      <c r="G286" s="66">
        <f>CEILING(G107*2.6,0.01)</f>
        <v>101.66</v>
      </c>
      <c r="H286" s="125"/>
      <c r="I286" s="67">
        <f>G286*H286</f>
        <v>0</v>
      </c>
    </row>
    <row r="287" spans="2:9" ht="12" x14ac:dyDescent="0.2">
      <c r="B287" s="68"/>
      <c r="C287" s="69"/>
      <c r="D287" s="69"/>
      <c r="E287" s="70" t="s">
        <v>282</v>
      </c>
      <c r="F287" s="121"/>
      <c r="G287" s="122"/>
      <c r="H287" s="72"/>
      <c r="I287" s="73"/>
    </row>
    <row r="288" spans="2:9" ht="36.75" thickBot="1" x14ac:dyDescent="0.25">
      <c r="B288" s="74"/>
      <c r="C288" s="75"/>
      <c r="D288" s="75"/>
      <c r="E288" s="76" t="s">
        <v>278</v>
      </c>
      <c r="F288" s="75"/>
      <c r="G288" s="90"/>
      <c r="H288" s="78"/>
      <c r="I288" s="79"/>
    </row>
    <row r="289" spans="2:9" thickBot="1" x14ac:dyDescent="0.25">
      <c r="B289" s="62">
        <f>1+MAX($B$3:B288)</f>
        <v>93</v>
      </c>
      <c r="C289" s="83">
        <v>998153132</v>
      </c>
      <c r="D289" s="63" t="s">
        <v>127</v>
      </c>
      <c r="E289" s="81" t="s">
        <v>276</v>
      </c>
      <c r="F289" s="83" t="s">
        <v>46</v>
      </c>
      <c r="G289" s="66">
        <f>CEILING(G286,0.01)</f>
        <v>101.66</v>
      </c>
      <c r="H289" s="125"/>
      <c r="I289" s="67">
        <f>G289*H289</f>
        <v>0</v>
      </c>
    </row>
    <row r="290" spans="2:9" ht="12" x14ac:dyDescent="0.2">
      <c r="B290" s="68"/>
      <c r="C290" s="69"/>
      <c r="D290" s="69"/>
      <c r="E290" s="70" t="s">
        <v>277</v>
      </c>
      <c r="F290" s="121"/>
      <c r="G290" s="122"/>
      <c r="H290" s="72"/>
      <c r="I290" s="73"/>
    </row>
    <row r="291" spans="2:9" thickBot="1" x14ac:dyDescent="0.25">
      <c r="B291" s="74"/>
      <c r="C291" s="75"/>
      <c r="D291" s="75"/>
      <c r="E291" s="76" t="s">
        <v>279</v>
      </c>
      <c r="F291" s="75"/>
      <c r="G291" s="90"/>
      <c r="H291" s="78"/>
      <c r="I291" s="79"/>
    </row>
    <row r="292" spans="2:9" ht="12.95" customHeight="1" thickBot="1" x14ac:dyDescent="0.25">
      <c r="B292" s="117"/>
      <c r="C292" s="58"/>
      <c r="D292" s="58"/>
      <c r="E292" s="100" t="s">
        <v>15</v>
      </c>
      <c r="F292" s="58"/>
      <c r="G292" s="58"/>
      <c r="H292" s="118"/>
      <c r="I292" s="61">
        <f>SUM(I293:I310)</f>
        <v>0</v>
      </c>
    </row>
    <row r="293" spans="2:9" thickBot="1" x14ac:dyDescent="0.25">
      <c r="B293" s="62">
        <f>1+MAX($B$3:B292)</f>
        <v>94</v>
      </c>
      <c r="C293" s="123" t="s">
        <v>39</v>
      </c>
      <c r="D293" s="123" t="s">
        <v>74</v>
      </c>
      <c r="E293" s="104" t="s">
        <v>24</v>
      </c>
      <c r="F293" s="63" t="s">
        <v>25</v>
      </c>
      <c r="G293" s="124">
        <f>1</f>
        <v>1</v>
      </c>
      <c r="H293" s="126"/>
      <c r="I293" s="67">
        <f>G293*H293</f>
        <v>0</v>
      </c>
    </row>
    <row r="294" spans="2:9" ht="12" x14ac:dyDescent="0.2">
      <c r="B294" s="68"/>
      <c r="C294" s="69"/>
      <c r="D294" s="69"/>
      <c r="E294" s="70" t="s">
        <v>68</v>
      </c>
      <c r="F294" s="69"/>
      <c r="G294" s="92"/>
      <c r="H294" s="72"/>
      <c r="I294" s="73"/>
    </row>
    <row r="295" spans="2:9" thickBot="1" x14ac:dyDescent="0.25">
      <c r="B295" s="74"/>
      <c r="C295" s="75"/>
      <c r="D295" s="75"/>
      <c r="E295" s="76" t="s">
        <v>66</v>
      </c>
      <c r="F295" s="75"/>
      <c r="G295" s="90"/>
      <c r="H295" s="78"/>
      <c r="I295" s="79"/>
    </row>
    <row r="296" spans="2:9" thickBot="1" x14ac:dyDescent="0.25">
      <c r="B296" s="62">
        <f>1+MAX($B$3:B295)</f>
        <v>95</v>
      </c>
      <c r="C296" s="123" t="s">
        <v>285</v>
      </c>
      <c r="D296" s="123" t="s">
        <v>74</v>
      </c>
      <c r="E296" s="104" t="s">
        <v>286</v>
      </c>
      <c r="F296" s="63" t="s">
        <v>25</v>
      </c>
      <c r="G296" s="124">
        <f>1</f>
        <v>1</v>
      </c>
      <c r="H296" s="126"/>
      <c r="I296" s="67">
        <f>G296*H296</f>
        <v>0</v>
      </c>
    </row>
    <row r="297" spans="2:9" ht="12" x14ac:dyDescent="0.2">
      <c r="B297" s="68"/>
      <c r="C297" s="69"/>
      <c r="D297" s="69"/>
      <c r="E297" s="70" t="s">
        <v>68</v>
      </c>
      <c r="F297" s="69"/>
      <c r="G297" s="92"/>
      <c r="H297" s="72"/>
      <c r="I297" s="73"/>
    </row>
    <row r="298" spans="2:9" thickBot="1" x14ac:dyDescent="0.25">
      <c r="B298" s="74"/>
      <c r="C298" s="75"/>
      <c r="D298" s="75"/>
      <c r="E298" s="76" t="s">
        <v>287</v>
      </c>
      <c r="F298" s="75"/>
      <c r="G298" s="90"/>
      <c r="H298" s="78"/>
      <c r="I298" s="79"/>
    </row>
    <row r="299" spans="2:9" thickBot="1" x14ac:dyDescent="0.25">
      <c r="B299" s="62">
        <f>1+MAX($B$3:B298)</f>
        <v>96</v>
      </c>
      <c r="C299" s="123" t="s">
        <v>40</v>
      </c>
      <c r="D299" s="123" t="s">
        <v>74</v>
      </c>
      <c r="E299" s="104" t="s">
        <v>26</v>
      </c>
      <c r="F299" s="63" t="s">
        <v>25</v>
      </c>
      <c r="G299" s="124">
        <f>1</f>
        <v>1</v>
      </c>
      <c r="H299" s="126"/>
      <c r="I299" s="67">
        <f>G299*H299</f>
        <v>0</v>
      </c>
    </row>
    <row r="300" spans="2:9" ht="12" x14ac:dyDescent="0.2">
      <c r="B300" s="68"/>
      <c r="C300" s="69"/>
      <c r="D300" s="69"/>
      <c r="E300" s="70" t="s">
        <v>68</v>
      </c>
      <c r="F300" s="69"/>
      <c r="G300" s="92"/>
      <c r="H300" s="72"/>
      <c r="I300" s="73"/>
    </row>
    <row r="301" spans="2:9" thickBot="1" x14ac:dyDescent="0.25">
      <c r="B301" s="74"/>
      <c r="C301" s="75"/>
      <c r="D301" s="75"/>
      <c r="E301" s="76" t="s">
        <v>67</v>
      </c>
      <c r="F301" s="75"/>
      <c r="G301" s="90"/>
      <c r="H301" s="78"/>
      <c r="I301" s="79"/>
    </row>
    <row r="302" spans="2:9" thickBot="1" x14ac:dyDescent="0.25">
      <c r="B302" s="62">
        <f>1+MAX($B$3:B301)</f>
        <v>97</v>
      </c>
      <c r="C302" s="123" t="s">
        <v>41</v>
      </c>
      <c r="D302" s="123" t="s">
        <v>74</v>
      </c>
      <c r="E302" s="104" t="s">
        <v>28</v>
      </c>
      <c r="F302" s="63" t="s">
        <v>25</v>
      </c>
      <c r="G302" s="124">
        <f>1</f>
        <v>1</v>
      </c>
      <c r="H302" s="126"/>
      <c r="I302" s="67">
        <f>G302*H302</f>
        <v>0</v>
      </c>
    </row>
    <row r="303" spans="2:9" ht="12" x14ac:dyDescent="0.2">
      <c r="B303" s="68"/>
      <c r="C303" s="69"/>
      <c r="D303" s="69"/>
      <c r="E303" s="70" t="s">
        <v>69</v>
      </c>
      <c r="F303" s="69"/>
      <c r="G303" s="92"/>
      <c r="H303" s="72"/>
      <c r="I303" s="73"/>
    </row>
    <row r="304" spans="2:9" thickBot="1" x14ac:dyDescent="0.25">
      <c r="B304" s="74"/>
      <c r="C304" s="75"/>
      <c r="D304" s="75"/>
      <c r="E304" s="76" t="s">
        <v>70</v>
      </c>
      <c r="F304" s="75"/>
      <c r="G304" s="90"/>
      <c r="H304" s="78"/>
      <c r="I304" s="79"/>
    </row>
    <row r="305" spans="2:9" ht="12.95" customHeight="1" thickBot="1" x14ac:dyDescent="0.25">
      <c r="B305" s="62">
        <f>1+MAX($B$3:B304)</f>
        <v>98</v>
      </c>
      <c r="C305" s="123" t="s">
        <v>42</v>
      </c>
      <c r="D305" s="123" t="s">
        <v>74</v>
      </c>
      <c r="E305" s="104" t="s">
        <v>27</v>
      </c>
      <c r="F305" s="63" t="s">
        <v>25</v>
      </c>
      <c r="G305" s="124">
        <f>1</f>
        <v>1</v>
      </c>
      <c r="H305" s="125"/>
      <c r="I305" s="67">
        <f>G305*H305</f>
        <v>0</v>
      </c>
    </row>
    <row r="306" spans="2:9" ht="12" x14ac:dyDescent="0.2">
      <c r="B306" s="68"/>
      <c r="C306" s="69"/>
      <c r="D306" s="69"/>
      <c r="E306" s="70" t="s">
        <v>68</v>
      </c>
      <c r="F306" s="69"/>
      <c r="G306" s="92"/>
      <c r="H306" s="72"/>
      <c r="I306" s="73"/>
    </row>
    <row r="307" spans="2:9" thickBot="1" x14ac:dyDescent="0.25">
      <c r="B307" s="74"/>
      <c r="C307" s="75"/>
      <c r="D307" s="75"/>
      <c r="E307" s="76" t="s">
        <v>71</v>
      </c>
      <c r="F307" s="75"/>
      <c r="G307" s="90"/>
      <c r="H307" s="78"/>
      <c r="I307" s="79"/>
    </row>
    <row r="308" spans="2:9" ht="12.75" customHeight="1" thickBot="1" x14ac:dyDescent="0.25">
      <c r="B308" s="62">
        <f>1+MAX($B$3:B307)</f>
        <v>99</v>
      </c>
      <c r="C308" s="123" t="s">
        <v>342</v>
      </c>
      <c r="D308" s="123" t="s">
        <v>74</v>
      </c>
      <c r="E308" s="104" t="s">
        <v>343</v>
      </c>
      <c r="F308" s="63" t="s">
        <v>25</v>
      </c>
      <c r="G308" s="124">
        <f>1</f>
        <v>1</v>
      </c>
      <c r="H308" s="125"/>
      <c r="I308" s="67">
        <f>G308*H308</f>
        <v>0</v>
      </c>
    </row>
    <row r="309" spans="2:9" ht="12.75" customHeight="1" x14ac:dyDescent="0.2">
      <c r="B309" s="68"/>
      <c r="C309" s="69"/>
      <c r="D309" s="69"/>
      <c r="E309" s="70" t="s">
        <v>68</v>
      </c>
      <c r="F309" s="69"/>
      <c r="G309" s="92"/>
      <c r="H309" s="72"/>
      <c r="I309" s="73"/>
    </row>
    <row r="310" spans="2:9" ht="12.75" customHeight="1" thickBot="1" x14ac:dyDescent="0.25">
      <c r="B310" s="74"/>
      <c r="C310" s="75"/>
      <c r="D310" s="75"/>
      <c r="E310" s="76" t="s">
        <v>344</v>
      </c>
      <c r="F310" s="75"/>
      <c r="G310" s="90"/>
      <c r="H310" s="78"/>
      <c r="I310" s="79"/>
    </row>
  </sheetData>
  <sheetProtection algorithmName="SHA-512" hashValue="y/F/LAe5u94iyszWd0RvaiZN945d+gqHNVDpSSbs+VLYkn82kWnTCB3Ec+kEqOWoxfGNeeWB/ciRTGODkjVpfA==" saltValue="twO17QtrOVGxa0Z/Mp0r7g==" spinCount="100000" sheet="1" objects="1" scenarios="1" selectLockedCells="1"/>
  <protectedRanges>
    <protectedRange sqref="E168" name="Oblast1_4_1_1_1_2"/>
    <protectedRange sqref="F85 F78 F81 F75" name="Oblast1_3_3_1_3"/>
    <protectedRange sqref="E248" name="Oblast1_3_4_5_2_2_1_1"/>
    <protectedRange sqref="E251" name="Oblast1_3_4_5_2_2_1_1_1"/>
    <protectedRange sqref="E172:F172" name="Oblast1_3_3_1_2"/>
    <protectedRange sqref="E175:F175" name="Oblast1_3_3_1_2_1"/>
    <protectedRange sqref="F181" name="Oblast1_3_3_1"/>
    <protectedRange sqref="C29 C32 E29" name="Oblast1_3_1_1_1_1"/>
    <protectedRange sqref="F47" name="Oblast1_3_3_1_3_1"/>
  </protectedRanges>
  <phoneticPr fontId="1" type="noConversion"/>
  <conditionalFormatting sqref="E102:E103">
    <cfRule type="expression" dxfId="6" priority="13">
      <formula>E102=""</formula>
    </cfRule>
  </conditionalFormatting>
  <conditionalFormatting sqref="E105:E106">
    <cfRule type="expression" dxfId="5" priority="11">
      <formula>E105=""</formula>
    </cfRule>
  </conditionalFormatting>
  <conditionalFormatting sqref="E108:E109">
    <cfRule type="expression" dxfId="4" priority="9">
      <formula>E108=""</formula>
    </cfRule>
  </conditionalFormatting>
  <conditionalFormatting sqref="E111:E112">
    <cfRule type="expression" dxfId="3" priority="7">
      <formula>E111=""</formula>
    </cfRule>
  </conditionalFormatting>
  <conditionalFormatting sqref="E114:E115">
    <cfRule type="expression" dxfId="2" priority="5">
      <formula>E114=""</formula>
    </cfRule>
  </conditionalFormatting>
  <conditionalFormatting sqref="E117:E118">
    <cfRule type="expression" dxfId="1" priority="3">
      <formula>E117=""</formula>
    </cfRule>
  </conditionalFormatting>
  <conditionalFormatting sqref="E120:E121">
    <cfRule type="expression" dxfId="0" priority="1">
      <formula>E120=""</formula>
    </cfRule>
  </conditionalFormatting>
  <printOptions horizontalCentered="1"/>
  <pageMargins left="0.19685039370078741" right="0.19685039370078741" top="0.78740157480314965" bottom="0.39370078740157483" header="0" footer="0"/>
  <pageSetup paperSize="9" scale="99" firstPageNumber="0" fitToHeight="3" orientation="landscape" horizontalDpi="300" verticalDpi="300" r:id="rId1"/>
  <headerFooter alignWithMargins="0">
    <oddFooter>&amp;C&amp;"Arial CE,Běžné"&amp;7  Strana &amp;P z &amp;N</oddFooter>
  </headerFooter>
  <ignoredErrors>
    <ignoredError sqref="G242 G266 G272 G236 G239 G260 G245 G248 G251 G257 G263 G269" unlockedFormula="1"/>
    <ignoredError sqref="C293 C299 C302 C305 C29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9ed0e5a-0378-45b4-a990-92aa170f3820">
      <Terms xmlns="http://schemas.microsoft.com/office/infopath/2007/PartnerControls"/>
    </lcf76f155ced4ddcb4097134ff3c332f>
    <TaxCatchAll xmlns="4df82892-9f05-4115-b8bf-20a77a76b5d2" xsi:nil="true"/>
    <SharedWithUsers xmlns="4df82892-9f05-4115-b8bf-20a77a76b5d2">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8" ma:contentTypeDescription="Vytvoří nový dokument" ma:contentTypeScope="" ma:versionID="1ff1a2ff228e8496d2cdd54681b8c6d9">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8079a8c743d7c1b9f28c862330ab59d"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AAB0B6-D224-41F1-80EA-49FE80B27F6D}">
  <ds:schemaRefs>
    <ds:schemaRef ds:uri="http://schemas.microsoft.com/office/2006/metadata/properties"/>
    <ds:schemaRef ds:uri="http://schemas.microsoft.com/office/infopath/2007/PartnerControls"/>
    <ds:schemaRef ds:uri="5f40f822-8b5b-4141-b2fd-246736b4bb7f"/>
    <ds:schemaRef ds:uri="17aae47d-7e2e-4d68-bc90-12d806edfb21"/>
  </ds:schemaRefs>
</ds:datastoreItem>
</file>

<file path=customXml/itemProps2.xml><?xml version="1.0" encoding="utf-8"?>
<ds:datastoreItem xmlns:ds="http://schemas.openxmlformats.org/officeDocument/2006/customXml" ds:itemID="{F96133BC-6C17-4E9A-8B14-CF419C34DAED}">
  <ds:schemaRefs>
    <ds:schemaRef ds:uri="http://schemas.microsoft.com/sharepoint/v3/contenttype/forms"/>
  </ds:schemaRefs>
</ds:datastoreItem>
</file>

<file path=customXml/itemProps3.xml><?xml version="1.0" encoding="utf-8"?>
<ds:datastoreItem xmlns:ds="http://schemas.openxmlformats.org/officeDocument/2006/customXml" ds:itemID="{A6BC6E5D-F58A-4C56-8BED-475E861E72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Krycí list</vt:lpstr>
      <vt:lpstr>D.1.2.8 Soupis prací s VV</vt:lpstr>
      <vt:lpstr>__xlnm.Print_Area_2</vt:lpstr>
      <vt:lpstr>'D.1.2.8 Soupis prací s VV'!Názvy_tisku</vt:lpstr>
      <vt:lpstr>'D.1.2.8 Soupis prací s VV'!Oblast_tisku</vt:lpstr>
      <vt:lpstr>'Krycí list'!Oblast_tisku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Vágner David</cp:lastModifiedBy>
  <cp:lastPrinted>2025-01-07T13:12:52Z</cp:lastPrinted>
  <dcterms:created xsi:type="dcterms:W3CDTF">2010-05-13T13:15:26Z</dcterms:created>
  <dcterms:modified xsi:type="dcterms:W3CDTF">2025-01-07T17:15:53Z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y fmtid="{D5CDD505-2E9C-101B-9397-08002B2CF9AE}" pid="3" name="Order">
    <vt:r8>8351400</vt:r8>
  </property>
  <property fmtid="{D5CDD505-2E9C-101B-9397-08002B2CF9AE}" pid="4" name="TriggerFlowInfo">
    <vt:lpwstr/>
  </property>
  <property fmtid="{D5CDD505-2E9C-101B-9397-08002B2CF9AE}" pid="5" name="ComplianceAssetId">
    <vt:lpwstr/>
  </property>
  <property fmtid="{D5CDD505-2E9C-101B-9397-08002B2CF9AE}" pid="6" name="_ExtendedDescription">
    <vt:lpwstr/>
  </property>
</Properties>
</file>