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POL\_TECHNICKÁ SKUPINA\_DOKUMENTAČNÍ  KOMISE\Dokumentační komise 2025\DK 04_duben 2025\011_ZS Labe, Ústí n.L - Roudnice n.L., ošetření a prořez dřevin, ř. km 768,9 - 809,5\"/>
    </mc:Choice>
  </mc:AlternateContent>
  <bookViews>
    <workbookView xWindow="0" yWindow="0" windowWidth="22185" windowHeight="9030"/>
  </bookViews>
  <sheets>
    <sheet name="Prořezy 1" sheetId="4" r:id="rId1"/>
  </sheets>
  <definedNames>
    <definedName name="_xlnm._FilterDatabase" localSheetId="0" hidden="1">'Prořezy 1'!$AD$1:$AD$367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65" i="4" l="1"/>
  <c r="AE367" i="4" l="1"/>
  <c r="AC364" i="4" l="1"/>
  <c r="AB364" i="4"/>
  <c r="Y364" i="4"/>
  <c r="AC363" i="4"/>
  <c r="AB363" i="4"/>
  <c r="Y363" i="4"/>
  <c r="AC362" i="4"/>
  <c r="AB362" i="4"/>
  <c r="Y362" i="4"/>
  <c r="AC361" i="4"/>
  <c r="AB361" i="4"/>
  <c r="Y361" i="4"/>
  <c r="AC360" i="4"/>
  <c r="AB360" i="4"/>
  <c r="Y360" i="4"/>
  <c r="AC359" i="4"/>
  <c r="AB359" i="4"/>
  <c r="Y359" i="4"/>
  <c r="AC358" i="4"/>
  <c r="AB358" i="4"/>
  <c r="Y358" i="4"/>
  <c r="AC357" i="4"/>
  <c r="AB357" i="4"/>
  <c r="Y357" i="4"/>
  <c r="AC356" i="4"/>
  <c r="AB356" i="4"/>
  <c r="Y356" i="4"/>
  <c r="AC355" i="4"/>
  <c r="AB355" i="4"/>
  <c r="Y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AC2" i="4"/>
  <c r="AB354" i="4" l="1"/>
  <c r="Y354" i="4"/>
  <c r="AB352" i="4"/>
  <c r="Y352" i="4"/>
  <c r="AB351" i="4"/>
  <c r="Y351" i="4"/>
  <c r="AB350" i="4"/>
  <c r="Y350" i="4"/>
  <c r="AB349" i="4"/>
  <c r="Y349" i="4"/>
  <c r="AB348" i="4"/>
  <c r="Y348" i="4"/>
  <c r="AB347" i="4"/>
  <c r="Y347" i="4"/>
  <c r="AB345" i="4"/>
  <c r="Y345" i="4"/>
  <c r="AB344" i="4"/>
  <c r="Y344" i="4"/>
  <c r="AB343" i="4"/>
  <c r="Y343" i="4"/>
  <c r="AB342" i="4"/>
  <c r="Y342" i="4"/>
  <c r="AB341" i="4"/>
  <c r="Y341" i="4"/>
  <c r="AB340" i="4"/>
  <c r="Y340" i="4"/>
  <c r="AB339" i="4"/>
  <c r="Y339" i="4"/>
  <c r="AB338" i="4"/>
  <c r="Y338" i="4"/>
  <c r="AB337" i="4"/>
  <c r="Y337" i="4"/>
  <c r="AB336" i="4"/>
  <c r="Y336" i="4"/>
  <c r="AB335" i="4"/>
  <c r="Y335" i="4"/>
  <c r="AB334" i="4"/>
  <c r="Y334" i="4"/>
  <c r="AB333" i="4"/>
  <c r="Y333" i="4"/>
  <c r="AB332" i="4"/>
  <c r="Y332" i="4"/>
  <c r="AB330" i="4"/>
  <c r="Y330" i="4"/>
  <c r="AB328" i="4"/>
  <c r="Y328" i="4"/>
  <c r="AB327" i="4"/>
  <c r="Y327" i="4"/>
  <c r="AB325" i="4"/>
  <c r="Y325" i="4"/>
  <c r="AB323" i="4"/>
  <c r="Y323" i="4"/>
  <c r="AB321" i="4"/>
  <c r="Y321" i="4"/>
  <c r="AB319" i="4"/>
  <c r="Y319" i="4"/>
  <c r="AB317" i="4"/>
  <c r="Y317" i="4"/>
  <c r="AB316" i="4"/>
  <c r="Y316" i="4"/>
  <c r="AB315" i="4"/>
  <c r="Y315" i="4"/>
  <c r="AB314" i="4"/>
  <c r="Y314" i="4"/>
  <c r="AB313" i="4"/>
  <c r="Y313" i="4"/>
  <c r="AB312" i="4"/>
  <c r="Y312" i="4"/>
  <c r="AB311" i="4"/>
  <c r="Y311" i="4"/>
  <c r="AB310" i="4"/>
  <c r="Y310" i="4"/>
  <c r="AB308" i="4"/>
  <c r="Y308" i="4"/>
  <c r="AB307" i="4"/>
  <c r="Y307" i="4"/>
  <c r="AB306" i="4"/>
  <c r="Y306" i="4"/>
  <c r="AB305" i="4"/>
  <c r="Y305" i="4"/>
  <c r="AB304" i="4"/>
  <c r="Y304" i="4"/>
  <c r="AB302" i="4"/>
  <c r="Y302" i="4"/>
  <c r="AB301" i="4"/>
  <c r="Y301" i="4"/>
  <c r="AB300" i="4"/>
  <c r="Y300" i="4"/>
  <c r="AB299" i="4"/>
  <c r="Y299" i="4"/>
  <c r="AB297" i="4"/>
  <c r="Y297" i="4"/>
  <c r="AB295" i="4"/>
  <c r="Y295" i="4"/>
  <c r="AB294" i="4"/>
  <c r="Y294" i="4"/>
  <c r="AB293" i="4"/>
  <c r="Y293" i="4"/>
  <c r="AB292" i="4"/>
  <c r="Y292" i="4"/>
  <c r="AB291" i="4"/>
  <c r="Y291" i="4"/>
  <c r="AB290" i="4"/>
  <c r="Y290" i="4"/>
  <c r="AB289" i="4"/>
  <c r="Y289" i="4"/>
  <c r="AB288" i="4"/>
  <c r="Y288" i="4"/>
  <c r="AB287" i="4"/>
  <c r="Y287" i="4"/>
  <c r="AB285" i="4"/>
  <c r="Y285" i="4"/>
  <c r="AB284" i="4"/>
  <c r="Y284" i="4"/>
  <c r="AB282" i="4"/>
  <c r="Y282" i="4"/>
  <c r="AB281" i="4"/>
  <c r="Y281" i="4"/>
  <c r="AB280" i="4"/>
  <c r="Y280" i="4"/>
  <c r="AB279" i="4"/>
  <c r="Y279" i="4"/>
  <c r="AB278" i="4"/>
  <c r="Y278" i="4"/>
  <c r="AB277" i="4"/>
  <c r="Y277" i="4"/>
  <c r="AB276" i="4"/>
  <c r="Y276" i="4"/>
  <c r="AB275" i="4"/>
  <c r="Y275" i="4"/>
  <c r="AB274" i="4"/>
  <c r="Y274" i="4"/>
  <c r="AB273" i="4"/>
  <c r="Y273" i="4"/>
  <c r="AB272" i="4"/>
  <c r="Y272" i="4"/>
  <c r="AB271" i="4"/>
  <c r="Y271" i="4"/>
  <c r="AB270" i="4"/>
  <c r="Y270" i="4"/>
  <c r="AB269" i="4"/>
  <c r="Y269" i="4"/>
  <c r="AB268" i="4"/>
  <c r="Y268" i="4"/>
  <c r="AB267" i="4"/>
  <c r="Y267" i="4"/>
  <c r="AB266" i="4"/>
  <c r="Y266" i="4"/>
  <c r="AB265" i="4"/>
  <c r="Y265" i="4"/>
  <c r="AB264" i="4"/>
  <c r="Y264" i="4"/>
  <c r="AB263" i="4"/>
  <c r="Y263" i="4"/>
  <c r="AB262" i="4"/>
  <c r="Y262" i="4"/>
  <c r="AB261" i="4"/>
  <c r="Y261" i="4"/>
  <c r="AB260" i="4"/>
  <c r="Y260" i="4"/>
  <c r="AB259" i="4"/>
  <c r="Y259" i="4"/>
  <c r="AB258" i="4"/>
  <c r="Y258" i="4"/>
  <c r="AB257" i="4"/>
  <c r="Y257" i="4"/>
  <c r="AB255" i="4"/>
  <c r="Y255" i="4"/>
  <c r="AB254" i="4"/>
  <c r="Y254" i="4"/>
  <c r="AB252" i="4"/>
  <c r="Y252" i="4"/>
  <c r="AB251" i="4"/>
  <c r="Y251" i="4"/>
  <c r="AB250" i="4"/>
  <c r="Y250" i="4"/>
  <c r="AB248" i="4"/>
  <c r="Y248" i="4"/>
  <c r="AB247" i="4"/>
  <c r="Y247" i="4"/>
  <c r="AB244" i="4"/>
  <c r="Y244" i="4"/>
  <c r="AB243" i="4"/>
  <c r="Y243" i="4"/>
  <c r="AB242" i="4"/>
  <c r="Y242" i="4"/>
  <c r="AB241" i="4"/>
  <c r="Y241" i="4"/>
  <c r="AB240" i="4"/>
  <c r="Y240" i="4"/>
  <c r="AB239" i="4"/>
  <c r="Y239" i="4"/>
  <c r="AB238" i="4"/>
  <c r="Y238" i="4"/>
  <c r="AB237" i="4"/>
  <c r="Y237" i="4"/>
  <c r="AB236" i="4"/>
  <c r="Y236" i="4"/>
  <c r="AB235" i="4"/>
  <c r="Y235" i="4"/>
  <c r="AB234" i="4"/>
  <c r="Y234" i="4"/>
  <c r="AB232" i="4"/>
  <c r="Y232" i="4"/>
  <c r="AB231" i="4"/>
  <c r="Y231" i="4"/>
  <c r="AB229" i="4"/>
  <c r="Y229" i="4"/>
  <c r="AB227" i="4"/>
  <c r="Y227" i="4"/>
  <c r="AB226" i="4"/>
  <c r="Y226" i="4"/>
  <c r="AB224" i="4"/>
  <c r="Y224" i="4"/>
  <c r="AB222" i="4"/>
  <c r="Y222" i="4"/>
  <c r="AB220" i="4"/>
  <c r="Y220" i="4"/>
  <c r="AB218" i="4"/>
  <c r="Y218" i="4"/>
  <c r="AB216" i="4"/>
  <c r="Y216" i="4"/>
  <c r="AB215" i="4"/>
  <c r="Y215" i="4"/>
  <c r="AB214" i="4"/>
  <c r="Y214" i="4"/>
  <c r="AB213" i="4"/>
  <c r="Y213" i="4"/>
  <c r="AB212" i="4"/>
  <c r="Y212" i="4"/>
  <c r="AB211" i="4"/>
  <c r="Y211" i="4"/>
  <c r="AB210" i="4"/>
  <c r="Y210" i="4"/>
  <c r="AB209" i="4"/>
  <c r="Y209" i="4"/>
  <c r="AB208" i="4"/>
  <c r="Y208" i="4"/>
  <c r="AB207" i="4"/>
  <c r="Y207" i="4"/>
  <c r="AB206" i="4"/>
  <c r="Y206" i="4"/>
  <c r="AB205" i="4"/>
  <c r="Y205" i="4"/>
  <c r="AB204" i="4"/>
  <c r="Y204" i="4"/>
  <c r="AB203" i="4"/>
  <c r="Y203" i="4"/>
  <c r="AB202" i="4"/>
  <c r="Y202" i="4"/>
  <c r="AB201" i="4"/>
  <c r="Y201" i="4"/>
  <c r="AB200" i="4"/>
  <c r="Y200" i="4"/>
  <c r="AB199" i="4"/>
  <c r="Y199" i="4"/>
  <c r="AB198" i="4"/>
  <c r="Y198" i="4"/>
  <c r="AB196" i="4"/>
  <c r="Y196" i="4"/>
  <c r="AB195" i="4"/>
  <c r="Y195" i="4"/>
  <c r="AB194" i="4"/>
  <c r="Y194" i="4"/>
  <c r="AB193" i="4"/>
  <c r="Y193" i="4"/>
  <c r="AB192" i="4"/>
  <c r="Y192" i="4"/>
  <c r="AB191" i="4"/>
  <c r="Y191" i="4"/>
  <c r="AB190" i="4"/>
  <c r="Y190" i="4"/>
  <c r="AB188" i="4"/>
  <c r="Y188" i="4"/>
  <c r="AB187" i="4"/>
  <c r="Y187" i="4"/>
  <c r="AB186" i="4"/>
  <c r="Y186" i="4"/>
  <c r="AB184" i="4"/>
  <c r="Y184" i="4"/>
  <c r="AB183" i="4"/>
  <c r="Y183" i="4"/>
  <c r="AB182" i="4"/>
  <c r="Y182" i="4"/>
  <c r="AB181" i="4"/>
  <c r="Y181" i="4"/>
  <c r="AB180" i="4"/>
  <c r="Y180" i="4"/>
  <c r="AB178" i="4"/>
  <c r="Y178" i="4"/>
  <c r="AB176" i="4"/>
  <c r="Y176" i="4"/>
  <c r="AB174" i="4"/>
  <c r="Y174" i="4"/>
  <c r="AB173" i="4"/>
  <c r="Y173" i="4"/>
  <c r="AB172" i="4"/>
  <c r="Y172" i="4"/>
  <c r="AB171" i="4"/>
  <c r="Y171" i="4"/>
  <c r="AB170" i="4"/>
  <c r="Y170" i="4"/>
  <c r="AB169" i="4"/>
  <c r="Y169" i="4"/>
  <c r="AB168" i="4"/>
  <c r="Y168" i="4"/>
  <c r="AB167" i="4"/>
  <c r="Y167" i="4"/>
  <c r="AB166" i="4"/>
  <c r="Y166" i="4"/>
  <c r="AB165" i="4"/>
  <c r="Y165" i="4"/>
  <c r="AB164" i="4"/>
  <c r="Y164" i="4"/>
  <c r="AB163" i="4"/>
  <c r="Y163" i="4"/>
  <c r="AB162" i="4"/>
  <c r="Y162" i="4"/>
  <c r="AB161" i="4"/>
  <c r="Y161" i="4"/>
  <c r="AB160" i="4"/>
  <c r="Y160" i="4"/>
  <c r="AB158" i="4"/>
  <c r="Y158" i="4"/>
  <c r="AB157" i="4"/>
  <c r="Y157" i="4"/>
  <c r="AB156" i="4"/>
  <c r="Y156" i="4"/>
  <c r="AB155" i="4"/>
  <c r="Y155" i="4"/>
  <c r="AB154" i="4"/>
  <c r="Y154" i="4"/>
  <c r="AB152" i="4"/>
  <c r="Y152" i="4"/>
  <c r="AB150" i="4"/>
  <c r="Y150" i="4"/>
  <c r="AB149" i="4"/>
  <c r="Y149" i="4"/>
  <c r="AB148" i="4"/>
  <c r="Y148" i="4"/>
  <c r="AB147" i="4"/>
  <c r="Y147" i="4"/>
  <c r="AB146" i="4"/>
  <c r="Y146" i="4"/>
  <c r="AB145" i="4"/>
  <c r="Y145" i="4"/>
  <c r="AB144" i="4"/>
  <c r="Y144" i="4"/>
  <c r="AB143" i="4"/>
  <c r="Y143" i="4"/>
  <c r="AB142" i="4"/>
  <c r="Y142" i="4"/>
  <c r="AB141" i="4"/>
  <c r="Y141" i="4"/>
  <c r="AB140" i="4"/>
  <c r="Y140" i="4"/>
  <c r="AB138" i="4"/>
  <c r="Y138" i="4"/>
  <c r="AB137" i="4"/>
  <c r="Y137" i="4"/>
  <c r="AB136" i="4"/>
  <c r="Y136" i="4"/>
  <c r="AB135" i="4"/>
  <c r="Y135" i="4"/>
  <c r="AB134" i="4"/>
  <c r="Y134" i="4"/>
  <c r="AB131" i="4"/>
  <c r="Y131" i="4"/>
  <c r="AB130" i="4"/>
  <c r="Y130" i="4"/>
  <c r="AB129" i="4"/>
  <c r="Y129" i="4"/>
  <c r="AB127" i="4"/>
  <c r="Y127" i="4"/>
  <c r="AB125" i="4"/>
  <c r="Y125" i="4"/>
  <c r="AB124" i="4"/>
  <c r="Y124" i="4"/>
  <c r="AB123" i="4"/>
  <c r="Y123" i="4"/>
  <c r="AB122" i="4"/>
  <c r="Y122" i="4"/>
  <c r="AB121" i="4"/>
  <c r="Y121" i="4"/>
  <c r="AB120" i="4"/>
  <c r="Y120" i="4"/>
  <c r="AB119" i="4"/>
  <c r="Y119" i="4"/>
  <c r="AB118" i="4"/>
  <c r="Y118" i="4"/>
  <c r="AB116" i="4"/>
  <c r="Y116" i="4"/>
  <c r="AB115" i="4"/>
  <c r="Y115" i="4"/>
  <c r="AB113" i="4"/>
  <c r="Y113" i="4"/>
  <c r="AB112" i="4"/>
  <c r="Y112" i="4"/>
  <c r="AB111" i="4"/>
  <c r="Y111" i="4"/>
  <c r="AB110" i="4"/>
  <c r="Y110" i="4"/>
  <c r="AB109" i="4"/>
  <c r="Y109" i="4"/>
  <c r="AB108" i="4"/>
  <c r="Y108" i="4"/>
  <c r="AB107" i="4"/>
  <c r="Y107" i="4"/>
  <c r="AB106" i="4"/>
  <c r="Y106" i="4"/>
  <c r="AB105" i="4"/>
  <c r="Y105" i="4"/>
  <c r="AB103" i="4"/>
  <c r="Y103" i="4"/>
  <c r="AB102" i="4"/>
  <c r="Y102" i="4"/>
  <c r="AB100" i="4"/>
  <c r="Y100" i="4"/>
  <c r="AB99" i="4"/>
  <c r="Y99" i="4"/>
  <c r="AB98" i="4"/>
  <c r="Y98" i="4"/>
  <c r="AB96" i="4"/>
  <c r="Y96" i="4"/>
  <c r="AB94" i="4"/>
  <c r="Y94" i="4"/>
  <c r="AB92" i="4"/>
  <c r="Y92" i="4"/>
  <c r="AB91" i="4"/>
  <c r="Y91" i="4"/>
  <c r="AB90" i="4"/>
  <c r="Y90" i="4"/>
  <c r="AB89" i="4"/>
  <c r="Y89" i="4"/>
  <c r="AB88" i="4"/>
  <c r="Y88" i="4"/>
  <c r="AB87" i="4"/>
  <c r="Y87" i="4"/>
  <c r="AB86" i="4"/>
  <c r="Y86" i="4"/>
  <c r="AB84" i="4"/>
  <c r="Y84" i="4"/>
  <c r="AB83" i="4"/>
  <c r="Y83" i="4"/>
  <c r="AB82" i="4"/>
  <c r="Y82" i="4"/>
  <c r="AB81" i="4"/>
  <c r="Y81" i="4"/>
  <c r="AB79" i="4"/>
  <c r="Y79" i="4"/>
  <c r="AB78" i="4"/>
  <c r="Y78" i="4"/>
  <c r="AB77" i="4"/>
  <c r="Y77" i="4"/>
  <c r="AB76" i="4"/>
  <c r="Y76" i="4"/>
  <c r="AB75" i="4"/>
  <c r="Y75" i="4"/>
  <c r="AB74" i="4"/>
  <c r="Y74" i="4"/>
  <c r="AB73" i="4"/>
  <c r="Y73" i="4"/>
  <c r="AB72" i="4"/>
  <c r="Y72" i="4"/>
  <c r="AB71" i="4"/>
  <c r="Y71" i="4"/>
  <c r="AB70" i="4"/>
  <c r="Y70" i="4"/>
  <c r="AB69" i="4"/>
  <c r="Y69" i="4"/>
  <c r="AB67" i="4"/>
  <c r="Y67" i="4"/>
  <c r="AB65" i="4"/>
  <c r="Y65" i="4"/>
  <c r="AB63" i="4"/>
  <c r="Y63" i="4"/>
  <c r="AB62" i="4"/>
  <c r="Y62" i="4"/>
  <c r="AB61" i="4"/>
  <c r="Y61" i="4"/>
  <c r="AB60" i="4"/>
  <c r="Y60" i="4"/>
  <c r="AB59" i="4"/>
  <c r="Y59" i="4"/>
  <c r="AB58" i="4"/>
  <c r="Y58" i="4"/>
  <c r="AB57" i="4"/>
  <c r="Y57" i="4"/>
  <c r="AB55" i="4"/>
  <c r="Y55" i="4"/>
  <c r="AB54" i="4"/>
  <c r="Y54" i="4"/>
  <c r="AB53" i="4"/>
  <c r="Y53" i="4"/>
  <c r="AB52" i="4"/>
  <c r="Y52" i="4"/>
  <c r="AB51" i="4"/>
  <c r="Y51" i="4"/>
  <c r="AB49" i="4"/>
  <c r="Y49" i="4"/>
  <c r="AB48" i="4"/>
  <c r="Y48" i="4"/>
  <c r="AB46" i="4"/>
  <c r="Y46" i="4"/>
  <c r="AB45" i="4"/>
  <c r="Y45" i="4"/>
  <c r="AB44" i="4"/>
  <c r="Y44" i="4"/>
  <c r="AB42" i="4"/>
  <c r="Y42" i="4"/>
  <c r="AB41" i="4"/>
  <c r="Y41" i="4"/>
  <c r="AB40" i="4"/>
  <c r="Y40" i="4"/>
  <c r="AB39" i="4"/>
  <c r="Y39" i="4"/>
  <c r="AB38" i="4"/>
  <c r="Y38" i="4"/>
  <c r="AB37" i="4"/>
  <c r="Y37" i="4"/>
  <c r="AB35" i="4"/>
  <c r="Y35" i="4"/>
  <c r="AB34" i="4"/>
  <c r="Y34" i="4"/>
  <c r="AB33" i="4"/>
  <c r="Y33" i="4"/>
  <c r="AB32" i="4"/>
  <c r="Y32" i="4"/>
  <c r="AB31" i="4"/>
  <c r="Y31" i="4"/>
  <c r="AB30" i="4"/>
  <c r="Y30" i="4"/>
  <c r="AB29" i="4"/>
  <c r="Y29" i="4"/>
  <c r="AB28" i="4"/>
  <c r="Y28" i="4"/>
  <c r="AB27" i="4"/>
  <c r="Y27" i="4"/>
  <c r="AB26" i="4"/>
  <c r="Y26" i="4"/>
  <c r="AB24" i="4"/>
  <c r="Y24" i="4"/>
  <c r="AB23" i="4"/>
  <c r="Y23" i="4"/>
  <c r="AB22" i="4"/>
  <c r="Y22" i="4"/>
  <c r="AB21" i="4"/>
  <c r="Y21" i="4"/>
  <c r="AB20" i="4"/>
  <c r="Y20" i="4"/>
  <c r="AB19" i="4"/>
  <c r="Y19" i="4"/>
  <c r="AB18" i="4"/>
  <c r="Y18" i="4"/>
  <c r="AB17" i="4"/>
  <c r="Y17" i="4"/>
  <c r="AB16" i="4"/>
  <c r="Y16" i="4"/>
  <c r="AB15" i="4"/>
  <c r="Y15" i="4"/>
  <c r="AB14" i="4"/>
  <c r="Y14" i="4"/>
  <c r="AB13" i="4"/>
  <c r="Y13" i="4"/>
  <c r="AB12" i="4"/>
  <c r="Y12" i="4"/>
  <c r="AB11" i="4"/>
  <c r="Y11" i="4"/>
  <c r="AB10" i="4"/>
  <c r="Y10" i="4"/>
  <c r="AB9" i="4"/>
  <c r="Y9" i="4"/>
  <c r="AB8" i="4"/>
  <c r="Y8" i="4"/>
  <c r="AB7" i="4"/>
  <c r="Y7" i="4"/>
  <c r="AB6" i="4"/>
  <c r="Y6" i="4"/>
  <c r="AB5" i="4"/>
  <c r="Y5" i="4"/>
  <c r="AB4" i="4"/>
  <c r="Y4" i="4"/>
  <c r="AB3" i="4"/>
  <c r="Y3" i="4"/>
  <c r="AB2" i="4"/>
  <c r="Y2" i="4"/>
</calcChain>
</file>

<file path=xl/sharedStrings.xml><?xml version="1.0" encoding="utf-8"?>
<sst xmlns="http://schemas.openxmlformats.org/spreadsheetml/2006/main" count="6664" uniqueCount="887">
  <si>
    <t>Plocha</t>
  </si>
  <si>
    <t>Číslo</t>
  </si>
  <si>
    <t>Číslo štítku</t>
  </si>
  <si>
    <t>Taxon lat.</t>
  </si>
  <si>
    <t>Taxon čes.</t>
  </si>
  <si>
    <t>Průměr kmene 1</t>
  </si>
  <si>
    <t>Průměr kmene 2</t>
  </si>
  <si>
    <t>Průměr kmene 3</t>
  </si>
  <si>
    <t>Průměr kmene 4</t>
  </si>
  <si>
    <t>Výška</t>
  </si>
  <si>
    <t>Spodní okraj koruny</t>
  </si>
  <si>
    <t>Průměr koruny</t>
  </si>
  <si>
    <t>Fyziologické stáří</t>
  </si>
  <si>
    <t>Perspektiva</t>
  </si>
  <si>
    <t>Vitalita</t>
  </si>
  <si>
    <t>Stabilita zlom</t>
  </si>
  <si>
    <t>Zdravotní stav</t>
  </si>
  <si>
    <t>Poznámka</t>
  </si>
  <si>
    <t>Katastrální území</t>
  </si>
  <si>
    <t>Parcela</t>
  </si>
  <si>
    <t>Technologie</t>
  </si>
  <si>
    <t>Opakování</t>
  </si>
  <si>
    <t>Naléhavost</t>
  </si>
  <si>
    <t>Poznámka k práci</t>
  </si>
  <si>
    <t>URL</t>
  </si>
  <si>
    <t>X</t>
  </si>
  <si>
    <t>Y</t>
  </si>
  <si>
    <t>Odkaz na Mapy.cz</t>
  </si>
  <si>
    <t>Populus x canadensis</t>
  </si>
  <si>
    <t>topol kanadský</t>
  </si>
  <si>
    <t>59</t>
  </si>
  <si>
    <t>25,0</t>
  </si>
  <si>
    <t>4,0</t>
  </si>
  <si>
    <t>8</t>
  </si>
  <si>
    <t>4</t>
  </si>
  <si>
    <t>c</t>
  </si>
  <si>
    <t>2</t>
  </si>
  <si>
    <t>3</t>
  </si>
  <si>
    <t>Ústí nad Labem</t>
  </si>
  <si>
    <t>Robinia pseudoacacia</t>
  </si>
  <si>
    <t>trnovník bílý</t>
  </si>
  <si>
    <t>16</t>
  </si>
  <si>
    <t>9,0</t>
  </si>
  <si>
    <t>1,0</t>
  </si>
  <si>
    <t>6</t>
  </si>
  <si>
    <t>b</t>
  </si>
  <si>
    <t>1</t>
  </si>
  <si>
    <t>12</t>
  </si>
  <si>
    <t>10</t>
  </si>
  <si>
    <t>9</t>
  </si>
  <si>
    <t>7</t>
  </si>
  <si>
    <t>8,0</t>
  </si>
  <si>
    <t>mapa č.10 - LB</t>
  </si>
  <si>
    <t>53</t>
  </si>
  <si>
    <t>52</t>
  </si>
  <si>
    <t>41</t>
  </si>
  <si>
    <t>18,0</t>
  </si>
  <si>
    <t>Infekce báze kmene. Tlaková vidlice od báze.</t>
  </si>
  <si>
    <t>Prackovice nad Labem</t>
  </si>
  <si>
    <t>17</t>
  </si>
  <si>
    <t>11,0</t>
  </si>
  <si>
    <t>2,0</t>
  </si>
  <si>
    <t>Salix  sp.</t>
  </si>
  <si>
    <t>vrba</t>
  </si>
  <si>
    <t>34</t>
  </si>
  <si>
    <t>42</t>
  </si>
  <si>
    <t>15,0</t>
  </si>
  <si>
    <t>Alnus glutinosa</t>
  </si>
  <si>
    <t>olše lepkavá</t>
  </si>
  <si>
    <t>37</t>
  </si>
  <si>
    <t>32</t>
  </si>
  <si>
    <t>25</t>
  </si>
  <si>
    <t>17,0</t>
  </si>
  <si>
    <t>Infekce báze kmene. Tlaková vidlice od báze vyvíjející se.</t>
  </si>
  <si>
    <t>26</t>
  </si>
  <si>
    <t>16,0</t>
  </si>
  <si>
    <t>6,0</t>
  </si>
  <si>
    <t>60</t>
  </si>
  <si>
    <t>47</t>
  </si>
  <si>
    <t>12,0</t>
  </si>
  <si>
    <t>0,0</t>
  </si>
  <si>
    <t>43</t>
  </si>
  <si>
    <t>39</t>
  </si>
  <si>
    <t>24</t>
  </si>
  <si>
    <t>19,0</t>
  </si>
  <si>
    <t>23</t>
  </si>
  <si>
    <t>Infekce báze kmene. Nakloněný kmen.</t>
  </si>
  <si>
    <t>22</t>
  </si>
  <si>
    <t>20</t>
  </si>
  <si>
    <t>18</t>
  </si>
  <si>
    <t>14,0</t>
  </si>
  <si>
    <t>21</t>
  </si>
  <si>
    <t>58</t>
  </si>
  <si>
    <t>35</t>
  </si>
  <si>
    <t>13</t>
  </si>
  <si>
    <t>5</t>
  </si>
  <si>
    <t>Fraxinus pennsylvanica</t>
  </si>
  <si>
    <t>jasan pensylvánský</t>
  </si>
  <si>
    <t>38</t>
  </si>
  <si>
    <t>10,0</t>
  </si>
  <si>
    <t>33</t>
  </si>
  <si>
    <t>29</t>
  </si>
  <si>
    <t>20,0</t>
  </si>
  <si>
    <t>3,0</t>
  </si>
  <si>
    <t>11</t>
  </si>
  <si>
    <t>a</t>
  </si>
  <si>
    <t>28</t>
  </si>
  <si>
    <t>Tlaková vidlice od báze vyvíjející se. Infekce báze kmene.</t>
  </si>
  <si>
    <t>30</t>
  </si>
  <si>
    <t>Fraxinus excelsior</t>
  </si>
  <si>
    <t>jasan ztepilý</t>
  </si>
  <si>
    <t>27</t>
  </si>
  <si>
    <t>13,0</t>
  </si>
  <si>
    <t>5,0</t>
  </si>
  <si>
    <t>Tlaková vidlice vyvíjející se.</t>
  </si>
  <si>
    <t>96</t>
  </si>
  <si>
    <t>68</t>
  </si>
  <si>
    <t>22,0</t>
  </si>
  <si>
    <t>15</t>
  </si>
  <si>
    <t>31</t>
  </si>
  <si>
    <t>54</t>
  </si>
  <si>
    <t>984/1</t>
  </si>
  <si>
    <t>82</t>
  </si>
  <si>
    <t>36</t>
  </si>
  <si>
    <t>40</t>
  </si>
  <si>
    <t>64</t>
  </si>
  <si>
    <t>960/4</t>
  </si>
  <si>
    <t>960/1</t>
  </si>
  <si>
    <t>Ulmus laevis</t>
  </si>
  <si>
    <t>jilm vaz</t>
  </si>
  <si>
    <t>46</t>
  </si>
  <si>
    <t>45</t>
  </si>
  <si>
    <t>49</t>
  </si>
  <si>
    <t>Salix alba</t>
  </si>
  <si>
    <t>vrba bílá</t>
  </si>
  <si>
    <t>Libochovany</t>
  </si>
  <si>
    <t>14</t>
  </si>
  <si>
    <t>Tlaková vidlice v kosterním větvení.</t>
  </si>
  <si>
    <t>mapa č.12 - PB</t>
  </si>
  <si>
    <t>1408/1</t>
  </si>
  <si>
    <t>19</t>
  </si>
  <si>
    <t>1408/3</t>
  </si>
  <si>
    <t>88</t>
  </si>
  <si>
    <t>23,0</t>
  </si>
  <si>
    <t>7,0</t>
  </si>
  <si>
    <t>66</t>
  </si>
  <si>
    <t>mapa č.13 - PB</t>
  </si>
  <si>
    <t>1409</t>
  </si>
  <si>
    <t>Tilia platyphyllos</t>
  </si>
  <si>
    <t>lípa velkolistá</t>
  </si>
  <si>
    <t>Torzo.</t>
  </si>
  <si>
    <t>90</t>
  </si>
  <si>
    <t>63</t>
  </si>
  <si>
    <t>Infekce kmene.</t>
  </si>
  <si>
    <t>27,0</t>
  </si>
  <si>
    <t>Tlaková vidlice od báze vyvíjející se.</t>
  </si>
  <si>
    <t>Odlomená část koruny. Poškození větví.</t>
  </si>
  <si>
    <t>67</t>
  </si>
  <si>
    <t>Odlomená část koruny.</t>
  </si>
  <si>
    <t>Infekce báze kmene.</t>
  </si>
  <si>
    <t>75</t>
  </si>
  <si>
    <t>28,0</t>
  </si>
  <si>
    <t>85</t>
  </si>
  <si>
    <t>94</t>
  </si>
  <si>
    <t>69</t>
  </si>
  <si>
    <t>mapa č.14 - PB</t>
  </si>
  <si>
    <t>1410/2</t>
  </si>
  <si>
    <t>50</t>
  </si>
  <si>
    <t>24,0</t>
  </si>
  <si>
    <t>Trhliny. Tlaková vidlice od báze.</t>
  </si>
  <si>
    <t>26,0</t>
  </si>
  <si>
    <t>Tlaková vidlice od báze.</t>
  </si>
  <si>
    <t>mapa č.15 - LB</t>
  </si>
  <si>
    <t>Acer platanoides</t>
  </si>
  <si>
    <t>javor mléčný</t>
  </si>
  <si>
    <t>Malé Žernoseky</t>
  </si>
  <si>
    <t>1342/2</t>
  </si>
  <si>
    <t>1342/1</t>
  </si>
  <si>
    <t>mapa č.16 - PB</t>
  </si>
  <si>
    <t>44</t>
  </si>
  <si>
    <t>Velké Žernoseky</t>
  </si>
  <si>
    <t>1314/1</t>
  </si>
  <si>
    <t>1321/1</t>
  </si>
  <si>
    <t>Infekce větví.</t>
  </si>
  <si>
    <t>Tlaková vidlice od báze. Infekce báze kmene.</t>
  </si>
  <si>
    <t>Infekce báze kmene. Asymetrická koruna.</t>
  </si>
  <si>
    <t>mapa č.18 - PB</t>
  </si>
  <si>
    <t>mapa č.19 - LB</t>
  </si>
  <si>
    <t>61</t>
  </si>
  <si>
    <t>mapa č.2 - LB</t>
  </si>
  <si>
    <t>78</t>
  </si>
  <si>
    <t>21,0</t>
  </si>
  <si>
    <t>mapa č.20 - PB</t>
  </si>
  <si>
    <t>62</t>
  </si>
  <si>
    <t>1242/7</t>
  </si>
  <si>
    <t>86</t>
  </si>
  <si>
    <t>Příliš vykloněný.</t>
  </si>
  <si>
    <t>1314/2</t>
  </si>
  <si>
    <t>73</t>
  </si>
  <si>
    <t>Odlomená část koruny. Infekce kmene.</t>
  </si>
  <si>
    <t>Asymetrická koruna.</t>
  </si>
  <si>
    <t>Acer negundo</t>
  </si>
  <si>
    <t>javor jasanolistý</t>
  </si>
  <si>
    <t>55</t>
  </si>
  <si>
    <t>56</t>
  </si>
  <si>
    <t>Infekce kmene. Asymetrická koruna.</t>
  </si>
  <si>
    <t>65</t>
  </si>
  <si>
    <t>48</t>
  </si>
  <si>
    <t>95</t>
  </si>
  <si>
    <t>29,0</t>
  </si>
  <si>
    <t>Infekce báze kmene. Dutina ve kmeni.</t>
  </si>
  <si>
    <t>81</t>
  </si>
  <si>
    <t>Dynamicky prosychá.</t>
  </si>
  <si>
    <t>91</t>
  </si>
  <si>
    <t>Infekce kmene. Infekce větví.</t>
  </si>
  <si>
    <t>112</t>
  </si>
  <si>
    <t>33,0</t>
  </si>
  <si>
    <t>72</t>
  </si>
  <si>
    <t>84</t>
  </si>
  <si>
    <t>57</t>
  </si>
  <si>
    <t>101</t>
  </si>
  <si>
    <t>30,0</t>
  </si>
  <si>
    <t>Infekce kmene. Nakloněný kmen.</t>
  </si>
  <si>
    <t>Píšťany</t>
  </si>
  <si>
    <t>34,0</t>
  </si>
  <si>
    <t>74</t>
  </si>
  <si>
    <t>35,0</t>
  </si>
  <si>
    <t>79</t>
  </si>
  <si>
    <t>51</t>
  </si>
  <si>
    <t>31,0</t>
  </si>
  <si>
    <t>71</t>
  </si>
  <si>
    <t>104</t>
  </si>
  <si>
    <t>Salix fragilis</t>
  </si>
  <si>
    <t>vrba křehká</t>
  </si>
  <si>
    <t>87</t>
  </si>
  <si>
    <t>83</t>
  </si>
  <si>
    <t>132</t>
  </si>
  <si>
    <t>80</t>
  </si>
  <si>
    <t>70</t>
  </si>
  <si>
    <t>118</t>
  </si>
  <si>
    <t>mapa č.22 - LB</t>
  </si>
  <si>
    <t>Lhotka nad Labem</t>
  </si>
  <si>
    <t>565/5</t>
  </si>
  <si>
    <t>Nakloněný kmen.</t>
  </si>
  <si>
    <t>Nakloněný kmen. Asymetrická koruna.</t>
  </si>
  <si>
    <t>mapa č.23 - LB</t>
  </si>
  <si>
    <t>Poškození kořenů. Infekce báze kmene.</t>
  </si>
  <si>
    <t>Infekce báze kmene. Odlomená část koruny.</t>
  </si>
  <si>
    <t>Lovosice</t>
  </si>
  <si>
    <t>mapa č.25 - LB</t>
  </si>
  <si>
    <t>307/3</t>
  </si>
  <si>
    <t>Sekundární koruna.</t>
  </si>
  <si>
    <t>1689/4</t>
  </si>
  <si>
    <t>1689/3</t>
  </si>
  <si>
    <t>mapa č.26 - LB</t>
  </si>
  <si>
    <t>77</t>
  </si>
  <si>
    <t>2965</t>
  </si>
  <si>
    <t>76</t>
  </si>
  <si>
    <t>Rozsáhlá infekce kmene. Infekce kosterního větvení. Infekce větví.</t>
  </si>
  <si>
    <t>Aesculus hippocastanum</t>
  </si>
  <si>
    <t>jírovec maďal</t>
  </si>
  <si>
    <t>Acer campestre</t>
  </si>
  <si>
    <t>javor polní</t>
  </si>
  <si>
    <t>93</t>
  </si>
  <si>
    <t>Acer pseudoplatanus</t>
  </si>
  <si>
    <t>javor horský</t>
  </si>
  <si>
    <t>111</t>
  </si>
  <si>
    <t>mapa č.27 - PB</t>
  </si>
  <si>
    <t>Populus nigra ‘Italica’</t>
  </si>
  <si>
    <t>topol černý ‘Italica’</t>
  </si>
  <si>
    <t>97</t>
  </si>
  <si>
    <t>274/6</t>
  </si>
  <si>
    <t>Populus nigra</t>
  </si>
  <si>
    <t>topol černý</t>
  </si>
  <si>
    <t>68/5</t>
  </si>
  <si>
    <t>Infekce báze kmene. Infekce kosterního větvení.</t>
  </si>
  <si>
    <t>274/1</t>
  </si>
  <si>
    <t>274/4</t>
  </si>
  <si>
    <t>98</t>
  </si>
  <si>
    <t>32/2</t>
  </si>
  <si>
    <t>Infekce báze kmene. Infekce větví.</t>
  </si>
  <si>
    <t>mapa č.28 - LB</t>
  </si>
  <si>
    <t>Prosmyky</t>
  </si>
  <si>
    <t>791/1</t>
  </si>
  <si>
    <t>mapa č.31 - LB</t>
  </si>
  <si>
    <t>Quercus robur</t>
  </si>
  <si>
    <t>dub letní</t>
  </si>
  <si>
    <t>Mlékojedy u Litoměřic</t>
  </si>
  <si>
    <t>326/1</t>
  </si>
  <si>
    <t>328/1</t>
  </si>
  <si>
    <t>mapa č.32 - PB</t>
  </si>
  <si>
    <t>Litoměřice</t>
  </si>
  <si>
    <t>2678/2</t>
  </si>
  <si>
    <t>mapa č.33 - LB</t>
  </si>
  <si>
    <t>4842/1</t>
  </si>
  <si>
    <t>Suchý vrchol.</t>
  </si>
  <si>
    <t>Infekce kmene. Podezření na infekci kořenů.</t>
  </si>
  <si>
    <t>mapa č.34 - PB</t>
  </si>
  <si>
    <t>mapa č.36 - PB</t>
  </si>
  <si>
    <t>4701</t>
  </si>
  <si>
    <t>mapa č.37 - PB</t>
  </si>
  <si>
    <t>4687/1</t>
  </si>
  <si>
    <t>Počaply u Terezína</t>
  </si>
  <si>
    <t>mapa č.39 - PB</t>
  </si>
  <si>
    <t>Třeboutice</t>
  </si>
  <si>
    <t>490/1</t>
  </si>
  <si>
    <t>mapa č.4 - LB</t>
  </si>
  <si>
    <t>Vaňov</t>
  </si>
  <si>
    <t>536/3</t>
  </si>
  <si>
    <t>mapa č.40 - LB</t>
  </si>
  <si>
    <t>448/1</t>
  </si>
  <si>
    <t>mapa č.42 - PB</t>
  </si>
  <si>
    <t>Křešice u Litoměřic</t>
  </si>
  <si>
    <t>1086/1</t>
  </si>
  <si>
    <t>Nučničky</t>
  </si>
  <si>
    <t>240</t>
  </si>
  <si>
    <t>217/1</t>
  </si>
  <si>
    <t>mapa č.44 - LB</t>
  </si>
  <si>
    <t>241</t>
  </si>
  <si>
    <t>217/2</t>
  </si>
  <si>
    <t>mapa č.45 - PB</t>
  </si>
  <si>
    <t>Nučnice</t>
  </si>
  <si>
    <t>258/2</t>
  </si>
  <si>
    <t>Lounky</t>
  </si>
  <si>
    <t>438</t>
  </si>
  <si>
    <t>89</t>
  </si>
  <si>
    <t>102</t>
  </si>
  <si>
    <t>331/2</t>
  </si>
  <si>
    <t>876</t>
  </si>
  <si>
    <t>115</t>
  </si>
  <si>
    <t>135</t>
  </si>
  <si>
    <t>331/3</t>
  </si>
  <si>
    <t>136</t>
  </si>
  <si>
    <t>302</t>
  </si>
  <si>
    <t>260/2</t>
  </si>
  <si>
    <t>mapa č.46 - LB</t>
  </si>
  <si>
    <t>Libotenice</t>
  </si>
  <si>
    <t>700/2</t>
  </si>
  <si>
    <t>126/2</t>
  </si>
  <si>
    <t>Tilia cordata</t>
  </si>
  <si>
    <t>lípa malolistá</t>
  </si>
  <si>
    <t>mapa č.47 - PB</t>
  </si>
  <si>
    <t>434</t>
  </si>
  <si>
    <t>mapa č.48 - LB</t>
  </si>
  <si>
    <t>706/4</t>
  </si>
  <si>
    <t>mapa č.49 - PB</t>
  </si>
  <si>
    <t>431/2</t>
  </si>
  <si>
    <t>mapa č.5 - PB</t>
  </si>
  <si>
    <t>Brná nad Labem</t>
  </si>
  <si>
    <t>711/1</t>
  </si>
  <si>
    <t>803/1</t>
  </si>
  <si>
    <t>mapa č.50 - LB</t>
  </si>
  <si>
    <t>Židovice nad Labem</t>
  </si>
  <si>
    <t>433/2</t>
  </si>
  <si>
    <t>mapa č.51 - PB</t>
  </si>
  <si>
    <t>Černěves</t>
  </si>
  <si>
    <t>680/4</t>
  </si>
  <si>
    <t>680/2</t>
  </si>
  <si>
    <t>Tlaková vidlice od báze. Dynamicky prosychá.</t>
  </si>
  <si>
    <t>680/6</t>
  </si>
  <si>
    <t>mapa č.52 - PB</t>
  </si>
  <si>
    <t>Vědomice</t>
  </si>
  <si>
    <t>334/3</t>
  </si>
  <si>
    <t>mapa č.53 - LB</t>
  </si>
  <si>
    <t>Roudnice nad Labem</t>
  </si>
  <si>
    <t>2893/1</t>
  </si>
  <si>
    <t>mapa č.56 - PB</t>
  </si>
  <si>
    <t>mapa č.57 - PB</t>
  </si>
  <si>
    <t>126</t>
  </si>
  <si>
    <t>mapa č.7 - PB</t>
  </si>
  <si>
    <t>802/2</t>
  </si>
  <si>
    <t>Sebuzín</t>
  </si>
  <si>
    <t>mapa č.8 - PB</t>
  </si>
  <si>
    <t>1494</t>
  </si>
  <si>
    <t>mapa č.9 - LB</t>
  </si>
  <si>
    <t>Dolní Zálezly</t>
  </si>
  <si>
    <t>454</t>
  </si>
  <si>
    <t>Řez výchovný</t>
  </si>
  <si>
    <t>Řez zdravotní</t>
  </si>
  <si>
    <t>Potlačit tlakové větvení.</t>
  </si>
  <si>
    <t>Lokální redukce z důvodu stabilizace</t>
  </si>
  <si>
    <t>Potlačit slabší kmeny.</t>
  </si>
  <si>
    <t>Řez bezpečnostní</t>
  </si>
  <si>
    <t>1159276</t>
  </si>
  <si>
    <t>Řez sesazovací</t>
  </si>
  <si>
    <t>30 procent. Kmeny nad břehem.</t>
  </si>
  <si>
    <t>Potlačit slabší kmen.</t>
  </si>
  <si>
    <t>1159278</t>
  </si>
  <si>
    <t>30 procent.</t>
  </si>
  <si>
    <t>1159279</t>
  </si>
  <si>
    <t>1159280</t>
  </si>
  <si>
    <t>1159282</t>
  </si>
  <si>
    <t>1159287</t>
  </si>
  <si>
    <t>1159293</t>
  </si>
  <si>
    <t>1159296</t>
  </si>
  <si>
    <t>Dynamicky prosychá. Silné suché větve v koruně. Tlaková vidlice od báze vyvíjející se.</t>
  </si>
  <si>
    <t>Odstranit slabší kmen.</t>
  </si>
  <si>
    <t>1159315</t>
  </si>
  <si>
    <t>Tlaková vidlice od báze. Částečně sekundární koruna.</t>
  </si>
  <si>
    <t>1159316</t>
  </si>
  <si>
    <t>Odlomená část koruny. Infekce báze kmene. Tlaková vidlice od báze.</t>
  </si>
  <si>
    <t>1159320</t>
  </si>
  <si>
    <t>1159322</t>
  </si>
  <si>
    <t>40 procent.</t>
  </si>
  <si>
    <t>1159327</t>
  </si>
  <si>
    <t>Infekce větví. Rozsáhlá infekce kmene.</t>
  </si>
  <si>
    <t>50 procent.</t>
  </si>
  <si>
    <t>Odlehčení nestabilních větví.</t>
  </si>
  <si>
    <t>1159332</t>
  </si>
  <si>
    <t>Kmen nad břehem.</t>
  </si>
  <si>
    <t>1159348</t>
  </si>
  <si>
    <t>Nakloněný kmen. Dutina ve kmeni. Dutina v kosterní větvi. Odlomená část koruny.</t>
  </si>
  <si>
    <t>1159355</t>
  </si>
  <si>
    <t>1159361</t>
  </si>
  <si>
    <t>1159362</t>
  </si>
  <si>
    <t>Jen kmeny nad břehem.</t>
  </si>
  <si>
    <t>1159370</t>
  </si>
  <si>
    <t>1159371</t>
  </si>
  <si>
    <t>Tlaková vidlice od báze vyvíjející se. Dynamicky prosychá.</t>
  </si>
  <si>
    <t>Kmeny nad břehem. 40 procent.</t>
  </si>
  <si>
    <t>1159372</t>
  </si>
  <si>
    <t>Infekce kmene. Velké řezné rány.</t>
  </si>
  <si>
    <t>20 procent.</t>
  </si>
  <si>
    <t>1159807</t>
  </si>
  <si>
    <t>Rozsáhlá infekce kmene. Silné suché větve v koruně.</t>
  </si>
  <si>
    <t>50 procent. Případně zcela odstranit.</t>
  </si>
  <si>
    <t>1159828</t>
  </si>
  <si>
    <t>Silné suché větve v koruně. Infekce větví. Výletové otvory od ptáků.</t>
  </si>
  <si>
    <t>1159829</t>
  </si>
  <si>
    <t>Poškození větví.</t>
  </si>
  <si>
    <t>Symetrizovat.</t>
  </si>
  <si>
    <t>Sesazený strom.</t>
  </si>
  <si>
    <t>Řez na hlavu</t>
  </si>
  <si>
    <t>Redukce ve směru objektu.</t>
  </si>
  <si>
    <t>1159740</t>
  </si>
  <si>
    <t>Asymetrická koruna. Tlaková vidlice od báze vyvíjející se.</t>
  </si>
  <si>
    <t>1159742</t>
  </si>
  <si>
    <t>1159748</t>
  </si>
  <si>
    <t>32,0</t>
  </si>
  <si>
    <t>Odlehčit větve nad komunikací či chodníkem.</t>
  </si>
  <si>
    <t>1159700</t>
  </si>
  <si>
    <t>1159380</t>
  </si>
  <si>
    <t>1159385</t>
  </si>
  <si>
    <t>Velké řezné rány.</t>
  </si>
  <si>
    <t>1159388</t>
  </si>
  <si>
    <t>Infekce báze kmene. Tlaková vidlice od báze. Odlomená část koruny.</t>
  </si>
  <si>
    <t>1159862</t>
  </si>
  <si>
    <t>1159863</t>
  </si>
  <si>
    <t>1159869</t>
  </si>
  <si>
    <t>Asymetrická koruna. Infekce báze kmene.</t>
  </si>
  <si>
    <t>1159872</t>
  </si>
  <si>
    <t>1159873</t>
  </si>
  <si>
    <t>Silné suché větve v koruně.</t>
  </si>
  <si>
    <t>1159874</t>
  </si>
  <si>
    <t>1159875</t>
  </si>
  <si>
    <t>1159877</t>
  </si>
  <si>
    <t>1159911</t>
  </si>
  <si>
    <t>1159912</t>
  </si>
  <si>
    <t>Suchý vrchol. Tlaková vidlice od báze vyvíjející se. Infekce báze kmene.</t>
  </si>
  <si>
    <t>1159922</t>
  </si>
  <si>
    <t>1159928</t>
  </si>
  <si>
    <t>1159932</t>
  </si>
  <si>
    <t>1159935</t>
  </si>
  <si>
    <t>1159939</t>
  </si>
  <si>
    <t>1159945</t>
  </si>
  <si>
    <t>Potlačit slabší kmen. Odlehčit větve nad komunikací či chodníkem.</t>
  </si>
  <si>
    <t>1159949</t>
  </si>
  <si>
    <t>1159959</t>
  </si>
  <si>
    <t>1159964</t>
  </si>
  <si>
    <t>1159966</t>
  </si>
  <si>
    <t>1159970</t>
  </si>
  <si>
    <t>1159980</t>
  </si>
  <si>
    <t>1159988</t>
  </si>
  <si>
    <t>Potlačit slabší kmen. Symetrizovat.</t>
  </si>
  <si>
    <t>1159997</t>
  </si>
  <si>
    <t>1159998</t>
  </si>
  <si>
    <t>1160000</t>
  </si>
  <si>
    <t>1160001</t>
  </si>
  <si>
    <t>1160008</t>
  </si>
  <si>
    <t>Tlaková vidlice od báze. Suchý vrchol.</t>
  </si>
  <si>
    <t>Redukce obvodová</t>
  </si>
  <si>
    <t>10 procent.</t>
  </si>
  <si>
    <t>1160027</t>
  </si>
  <si>
    <t>1159401</t>
  </si>
  <si>
    <t>139</t>
  </si>
  <si>
    <t>Infekce kmene. Infekce větví. Sekundární koruna.</t>
  </si>
  <si>
    <t>Řízená obvodová redukce za účelem zvýšení stability</t>
  </si>
  <si>
    <t>1159406</t>
  </si>
  <si>
    <t>Sekundární koruna. Dynamicky prosychá. Sesazený strom.</t>
  </si>
  <si>
    <t>1312/20</t>
  </si>
  <si>
    <t>1159409</t>
  </si>
  <si>
    <t>1342/11</t>
  </si>
  <si>
    <t>1159410</t>
  </si>
  <si>
    <t>1159413</t>
  </si>
  <si>
    <t>1159417</t>
  </si>
  <si>
    <t>Poškozuje chodník.</t>
  </si>
  <si>
    <t>1342/9</t>
  </si>
  <si>
    <t>Úprava průjezdného či průchozího profilu</t>
  </si>
  <si>
    <t>1159419</t>
  </si>
  <si>
    <t>1159424</t>
  </si>
  <si>
    <t>1159236</t>
  </si>
  <si>
    <t>Konflikt s okolními strukturami.</t>
  </si>
  <si>
    <t>3454</t>
  </si>
  <si>
    <t>Lokální redukce směrem k překážce</t>
  </si>
  <si>
    <t>Zavěšená větev v koruně.</t>
  </si>
  <si>
    <t>1160070</t>
  </si>
  <si>
    <t>1160099</t>
  </si>
  <si>
    <t>1160135</t>
  </si>
  <si>
    <t>1160141</t>
  </si>
  <si>
    <t>Dynamicky prosychá. Tlaková vidlice od báze vyvíjející se.</t>
  </si>
  <si>
    <t>119</t>
  </si>
  <si>
    <t>Poškození kořenů.</t>
  </si>
  <si>
    <t>1160148</t>
  </si>
  <si>
    <t>1160199</t>
  </si>
  <si>
    <t>198</t>
  </si>
  <si>
    <t>1160236</t>
  </si>
  <si>
    <t>122</t>
  </si>
  <si>
    <t>Dutina ve kmeni.</t>
  </si>
  <si>
    <t>1160237</t>
  </si>
  <si>
    <t>1160252</t>
  </si>
  <si>
    <t>105</t>
  </si>
  <si>
    <t>1159433</t>
  </si>
  <si>
    <t>Poškození větví. Infekce kmene.</t>
  </si>
  <si>
    <t>1159446</t>
  </si>
  <si>
    <t>1159449</t>
  </si>
  <si>
    <t>1159452</t>
  </si>
  <si>
    <t>Tlaková vidlice od báze vyvíjející se. Poškozuje chodník.</t>
  </si>
  <si>
    <t>1159458</t>
  </si>
  <si>
    <t>1159459</t>
  </si>
  <si>
    <t>1159466</t>
  </si>
  <si>
    <t>1159468</t>
  </si>
  <si>
    <t>1159469</t>
  </si>
  <si>
    <t>110</t>
  </si>
  <si>
    <t>Silné suché větve v koruně. Dynamicky prosychá. Tlaková vidlice od báze.</t>
  </si>
  <si>
    <t>1159475</t>
  </si>
  <si>
    <t>Odlomená část koruny. Asymetrická koruna.</t>
  </si>
  <si>
    <t>1159479</t>
  </si>
  <si>
    <t>1159481</t>
  </si>
  <si>
    <t>1159483</t>
  </si>
  <si>
    <t>1164033</t>
  </si>
  <si>
    <t>Tlaková vidlice rozlomená.</t>
  </si>
  <si>
    <t>Redukovat nalomenou větev na  3m torzo. Případně odstranit cely strom.</t>
  </si>
  <si>
    <t>92</t>
  </si>
  <si>
    <t>1164042</t>
  </si>
  <si>
    <t>Odlomená část koruny. Zavěšená větev v koruně.</t>
  </si>
  <si>
    <t>1164077</t>
  </si>
  <si>
    <t>191</t>
  </si>
  <si>
    <t>Infekce báze kmene s dutinou. Silné suché větve v koruně. Defektní větvení.</t>
  </si>
  <si>
    <t>149</t>
  </si>
  <si>
    <t>Odstranit zavěšenou větev.</t>
  </si>
  <si>
    <t>1163780</t>
  </si>
  <si>
    <t>1163778</t>
  </si>
  <si>
    <t>Odlomená část koruny. Výletové otvory od ptáků. Infekce větví. Zavěšená větev v koruně.</t>
  </si>
  <si>
    <t>1163784</t>
  </si>
  <si>
    <t>156</t>
  </si>
  <si>
    <t>1163788</t>
  </si>
  <si>
    <t>165</t>
  </si>
  <si>
    <t>68/15</t>
  </si>
  <si>
    <t>1163789</t>
  </si>
  <si>
    <t>1163792</t>
  </si>
  <si>
    <t>1163794</t>
  </si>
  <si>
    <t>157</t>
  </si>
  <si>
    <t>1163796</t>
  </si>
  <si>
    <t>1163797</t>
  </si>
  <si>
    <t>1163804</t>
  </si>
  <si>
    <t>Tlaková vidlice od báze vyvíjející se. Nakloněný kmen.</t>
  </si>
  <si>
    <t>Redukovat kmeny nad rybářským místem.</t>
  </si>
  <si>
    <t>1163808</t>
  </si>
  <si>
    <t>Nakloněný kmen. Infekce báze kmene. Tlaková vidlice vyvíjející se.</t>
  </si>
  <si>
    <t>Redukovat vykloněný kmen.</t>
  </si>
  <si>
    <t>1163811</t>
  </si>
  <si>
    <t>269</t>
  </si>
  <si>
    <t>1163816</t>
  </si>
  <si>
    <t>133</t>
  </si>
  <si>
    <t>Infekce báze kmene. Asymetrická koruna. Zavěšená větev v koruně.</t>
  </si>
  <si>
    <t>1163815</t>
  </si>
  <si>
    <t>1163812</t>
  </si>
  <si>
    <t>1163813</t>
  </si>
  <si>
    <t>1163817</t>
  </si>
  <si>
    <t>Infekce větví. Nakloněný kmen.</t>
  </si>
  <si>
    <t>1163820</t>
  </si>
  <si>
    <t>1163847</t>
  </si>
  <si>
    <t>1163853</t>
  </si>
  <si>
    <t>1163860</t>
  </si>
  <si>
    <t>1163894</t>
  </si>
  <si>
    <t>171</t>
  </si>
  <si>
    <t>1163893</t>
  </si>
  <si>
    <t>210</t>
  </si>
  <si>
    <t>1163891</t>
  </si>
  <si>
    <t>234</t>
  </si>
  <si>
    <t>Infekce kmene. Infekce báze kmene. Infekce větví. Poškození bleskem.</t>
  </si>
  <si>
    <t>1163889</t>
  </si>
  <si>
    <t>236</t>
  </si>
  <si>
    <t>1163887</t>
  </si>
  <si>
    <t>145</t>
  </si>
  <si>
    <t>1163885</t>
  </si>
  <si>
    <t>185</t>
  </si>
  <si>
    <t>Infekce báze kmene. Infekce větví. Výletové otvory od ptáků.</t>
  </si>
  <si>
    <t>1163884</t>
  </si>
  <si>
    <t>151</t>
  </si>
  <si>
    <t>1163882</t>
  </si>
  <si>
    <t>160</t>
  </si>
  <si>
    <t>1163875</t>
  </si>
  <si>
    <t>1163879</t>
  </si>
  <si>
    <t>1163877</t>
  </si>
  <si>
    <t>121</t>
  </si>
  <si>
    <t>1163878</t>
  </si>
  <si>
    <t>1163873</t>
  </si>
  <si>
    <t>1163872</t>
  </si>
  <si>
    <t>128</t>
  </si>
  <si>
    <t>1163869</t>
  </si>
  <si>
    <t>1163866</t>
  </si>
  <si>
    <t>Infekce báze kmene. Poškození báze kmene.</t>
  </si>
  <si>
    <t>1163865</t>
  </si>
  <si>
    <t>1163864</t>
  </si>
  <si>
    <t>1163862</t>
  </si>
  <si>
    <t>1163888</t>
  </si>
  <si>
    <t>1159499</t>
  </si>
  <si>
    <t>1159524</t>
  </si>
  <si>
    <t>1159531</t>
  </si>
  <si>
    <t>1163765</t>
  </si>
  <si>
    <t>1163770</t>
  </si>
  <si>
    <t>1163777</t>
  </si>
  <si>
    <t>Tlaková vidlice od báze. Nakloněný kmen.</t>
  </si>
  <si>
    <t>1160409</t>
  </si>
  <si>
    <t>Nakloněný kmen. Odlomená část koruny. Suchý vrchol.</t>
  </si>
  <si>
    <t>1160410</t>
  </si>
  <si>
    <t>1160434</t>
  </si>
  <si>
    <t>100</t>
  </si>
  <si>
    <t>1160442</t>
  </si>
  <si>
    <t>1160443</t>
  </si>
  <si>
    <t>Infekce kmene. Infekce větví. Silné suché větve v koruně.</t>
  </si>
  <si>
    <t>1160444</t>
  </si>
  <si>
    <t>1160445</t>
  </si>
  <si>
    <t>Dutina ve kmeni. Infekce větví.</t>
  </si>
  <si>
    <t>1160446</t>
  </si>
  <si>
    <t>1160489</t>
  </si>
  <si>
    <t>150</t>
  </si>
  <si>
    <t>1163901</t>
  </si>
  <si>
    <t>1163949</t>
  </si>
  <si>
    <t>1163904</t>
  </si>
  <si>
    <t>Defektní větvení. Silné suché větve v koruně. Infekce větví.</t>
  </si>
  <si>
    <t>1161163</t>
  </si>
  <si>
    <t>1161167</t>
  </si>
  <si>
    <t>Poškození báze kmene. Poškozuje chodník.</t>
  </si>
  <si>
    <t>1161168</t>
  </si>
  <si>
    <t>1161170</t>
  </si>
  <si>
    <t>1161171</t>
  </si>
  <si>
    <t>1159201</t>
  </si>
  <si>
    <t>Potlačit tlakové větvení. Odlehčit větve nad komunikací či chodníkem.</t>
  </si>
  <si>
    <t>124</t>
  </si>
  <si>
    <t>1159569</t>
  </si>
  <si>
    <t>1159578</t>
  </si>
  <si>
    <t>1159579</t>
  </si>
  <si>
    <t>mapa č.41 - PB</t>
  </si>
  <si>
    <t>1161153</t>
  </si>
  <si>
    <t>120/5</t>
  </si>
  <si>
    <t>122/2</t>
  </si>
  <si>
    <t>1161158</t>
  </si>
  <si>
    <t>1161130</t>
  </si>
  <si>
    <t>1161131</t>
  </si>
  <si>
    <t>Dynamicky prosychá. Redukovaná koruna.</t>
  </si>
  <si>
    <t>1161136</t>
  </si>
  <si>
    <t>1161139</t>
  </si>
  <si>
    <t>1161149</t>
  </si>
  <si>
    <t>Vosí hnízdo blízko báze kmene! Tlaková vidlice od báze vyvíjející se.</t>
  </si>
  <si>
    <t>1161152</t>
  </si>
  <si>
    <t>1160537</t>
  </si>
  <si>
    <t>Asymetrická koruna. Infekce kmene. Výletové otvory od ptáků.</t>
  </si>
  <si>
    <t>130</t>
  </si>
  <si>
    <t>1160555</t>
  </si>
  <si>
    <t>Infekce kmene. Z jednoho kmenu torzo.</t>
  </si>
  <si>
    <t>1160561</t>
  </si>
  <si>
    <t>Instalace statické vazby v dolní úrovni</t>
  </si>
  <si>
    <t>Vrtaná.</t>
  </si>
  <si>
    <t>1160568</t>
  </si>
  <si>
    <t>1160573</t>
  </si>
  <si>
    <t>1160577</t>
  </si>
  <si>
    <t>1160584</t>
  </si>
  <si>
    <t>108</t>
  </si>
  <si>
    <t>Dynamicky prosychá. Silné suché větve v koruně.</t>
  </si>
  <si>
    <t>1160590</t>
  </si>
  <si>
    <t>1160592</t>
  </si>
  <si>
    <t>1160596</t>
  </si>
  <si>
    <t>1160602</t>
  </si>
  <si>
    <t>1162878</t>
  </si>
  <si>
    <t>Infekce kmene s dutinou. Infekce kosterního větvení. Infekce větví. Výletové otvory od ptáků.</t>
  </si>
  <si>
    <t>1162880</t>
  </si>
  <si>
    <t>Infekce báze kmene. Silné suché větve v koruně.</t>
  </si>
  <si>
    <t>1162890</t>
  </si>
  <si>
    <t>138</t>
  </si>
  <si>
    <t>Silné suché větve v koruně. Nevhodná struktura větvení. Poškozen pravděpodobně bleskem.</t>
  </si>
  <si>
    <t>Odlehčit silnou kosterní větev větve nad komunikací či chodníkem.</t>
  </si>
  <si>
    <t>1162895</t>
  </si>
  <si>
    <t>Odlehčení nestabilních větví. Odlehčit větve nad komunikací či chodníkem.</t>
  </si>
  <si>
    <t>1162906</t>
  </si>
  <si>
    <t>Silné suché větve v koruně. Asymetrická koruna.</t>
  </si>
  <si>
    <t>1162938</t>
  </si>
  <si>
    <t>1162940</t>
  </si>
  <si>
    <t>1162960</t>
  </si>
  <si>
    <t>Silné suché větve v koruně. Infekce báze kmene.</t>
  </si>
  <si>
    <t>1162962</t>
  </si>
  <si>
    <t>1162996</t>
  </si>
  <si>
    <t>Potlačený jedinec. Zavěšená větev v koruně.</t>
  </si>
  <si>
    <t>1162994</t>
  </si>
  <si>
    <t>113</t>
  </si>
  <si>
    <t>1162995</t>
  </si>
  <si>
    <t>Potlačený jedinec. Dynamicky prosychá. Suchý vrchol.</t>
  </si>
  <si>
    <t>1164020</t>
  </si>
  <si>
    <t>1164026</t>
  </si>
  <si>
    <t>126/1</t>
  </si>
  <si>
    <t>1160612</t>
  </si>
  <si>
    <t>1160613</t>
  </si>
  <si>
    <t>1160632</t>
  </si>
  <si>
    <t>1160639</t>
  </si>
  <si>
    <t>1160648</t>
  </si>
  <si>
    <t>1160656</t>
  </si>
  <si>
    <t>1160658</t>
  </si>
  <si>
    <t>1161049</t>
  </si>
  <si>
    <t>Odlehčit větve nad loukou.</t>
  </si>
  <si>
    <t>1161053</t>
  </si>
  <si>
    <t>1161054</t>
  </si>
  <si>
    <t>1161057</t>
  </si>
  <si>
    <t>1161060</t>
  </si>
  <si>
    <t>1161066</t>
  </si>
  <si>
    <t>1161071</t>
  </si>
  <si>
    <t>700/3</t>
  </si>
  <si>
    <t>1160674</t>
  </si>
  <si>
    <t>1160679</t>
  </si>
  <si>
    <t>1160688</t>
  </si>
  <si>
    <t>Odlomená část koruny. Infekce kmene. Výletové otvory od ptáků. Zavěšená větev v koruně. Dutina ve kmeni.</t>
  </si>
  <si>
    <t>1160709</t>
  </si>
  <si>
    <t>1160713</t>
  </si>
  <si>
    <t>1160714</t>
  </si>
  <si>
    <t>1160715</t>
  </si>
  <si>
    <t>1160716</t>
  </si>
  <si>
    <t>1160718</t>
  </si>
  <si>
    <t>1160719</t>
  </si>
  <si>
    <t>Odlomená část koruny. Nakloněný kmen.</t>
  </si>
  <si>
    <t>1160720</t>
  </si>
  <si>
    <t>1160725</t>
  </si>
  <si>
    <t>80 procent.</t>
  </si>
  <si>
    <t>1160734</t>
  </si>
  <si>
    <t>1160735</t>
  </si>
  <si>
    <t>Tlaková vidlice vyvíjející se. Poškození báze kmene.</t>
  </si>
  <si>
    <t>1161037</t>
  </si>
  <si>
    <t>1159614</t>
  </si>
  <si>
    <t>Infekce kmene. Infekce báze kmene.</t>
  </si>
  <si>
    <t>1159616</t>
  </si>
  <si>
    <t>Sekundární koruna. Tlaková vidlice od báze vyvíjející se.</t>
  </si>
  <si>
    <t>1159617</t>
  </si>
  <si>
    <t>1159618</t>
  </si>
  <si>
    <t>1159622</t>
  </si>
  <si>
    <t>Silné suché větve v koruně. Infekce kmene.</t>
  </si>
  <si>
    <t>1159628</t>
  </si>
  <si>
    <t>1160745</t>
  </si>
  <si>
    <t>Poškození větví. Zavěšená větev v koruně.</t>
  </si>
  <si>
    <t>Hrobce</t>
  </si>
  <si>
    <t>660</t>
  </si>
  <si>
    <t>398/3</t>
  </si>
  <si>
    <t>1160750</t>
  </si>
  <si>
    <t>1160751</t>
  </si>
  <si>
    <t>1160752</t>
  </si>
  <si>
    <t>1160753</t>
  </si>
  <si>
    <t>1160756</t>
  </si>
  <si>
    <t>1160759</t>
  </si>
  <si>
    <t>1160760</t>
  </si>
  <si>
    <t>Poškození kořenů. Infekce větví. Infekce kosterního větvení.</t>
  </si>
  <si>
    <t>Symetrizovat. Odlehčit větve nad komunikací či chodníkem.</t>
  </si>
  <si>
    <t>1160761</t>
  </si>
  <si>
    <t>1160763</t>
  </si>
  <si>
    <t>1160764</t>
  </si>
  <si>
    <t>398/4</t>
  </si>
  <si>
    <t>1160765</t>
  </si>
  <si>
    <t>Potlačit tlakové větvení. Potlačit slabší kmen.</t>
  </si>
  <si>
    <t>1160766</t>
  </si>
  <si>
    <t>Suchý vrchol. Tlaková vidlice od báze. Dynamicky prosychá.</t>
  </si>
  <si>
    <t>1160786</t>
  </si>
  <si>
    <t>1160794</t>
  </si>
  <si>
    <t>1160810</t>
  </si>
  <si>
    <t>1160811</t>
  </si>
  <si>
    <t>1160814</t>
  </si>
  <si>
    <t>1160816</t>
  </si>
  <si>
    <t>1160818</t>
  </si>
  <si>
    <t>Dutina ve kmeni. Infekce báze kmene.</t>
  </si>
  <si>
    <t>1160819</t>
  </si>
  <si>
    <t>1160829</t>
  </si>
  <si>
    <t>1160830</t>
  </si>
  <si>
    <t>1160848</t>
  </si>
  <si>
    <t>1160849</t>
  </si>
  <si>
    <t>125</t>
  </si>
  <si>
    <t>1160850</t>
  </si>
  <si>
    <t>99</t>
  </si>
  <si>
    <t>1160851</t>
  </si>
  <si>
    <t>1160852</t>
  </si>
  <si>
    <t>1161077</t>
  </si>
  <si>
    <t>Jeden kmen odlomen.</t>
  </si>
  <si>
    <t>1161083</t>
  </si>
  <si>
    <t>1161087</t>
  </si>
  <si>
    <t>Zavěšená větev v koruně. Asymetrická koruna.</t>
  </si>
  <si>
    <t>1161095</t>
  </si>
  <si>
    <t>1161097</t>
  </si>
  <si>
    <t>1161102</t>
  </si>
  <si>
    <t>Infekce kmene. Asymetrická koruna. Odlomená část koruny. Suchý vrchol.</t>
  </si>
  <si>
    <t>1161105</t>
  </si>
  <si>
    <t>Torzo. Nakloněný kmen.</t>
  </si>
  <si>
    <t>1161106</t>
  </si>
  <si>
    <t>Infekce báze kmene. Redukovaná koruna.</t>
  </si>
  <si>
    <t>1161109</t>
  </si>
  <si>
    <t>1161110</t>
  </si>
  <si>
    <t>1161124</t>
  </si>
  <si>
    <t>680/7</t>
  </si>
  <si>
    <t>1161127</t>
  </si>
  <si>
    <t>1161177</t>
  </si>
  <si>
    <t>1161188</t>
  </si>
  <si>
    <t>Odstranit suché kmeny.</t>
  </si>
  <si>
    <t>1161192</t>
  </si>
  <si>
    <t>Odstranit kmen s tlakovou vidlicí.</t>
  </si>
  <si>
    <t>1160871</t>
  </si>
  <si>
    <t>1160872</t>
  </si>
  <si>
    <t>1160873</t>
  </si>
  <si>
    <t>1160874</t>
  </si>
  <si>
    <t>1160876</t>
  </si>
  <si>
    <t>Infekce větví. Asymetrická koruna. Výletové otvory od ptáků.</t>
  </si>
  <si>
    <t>1160878</t>
  </si>
  <si>
    <t>1160880</t>
  </si>
  <si>
    <t>1160881</t>
  </si>
  <si>
    <t>1160894</t>
  </si>
  <si>
    <t>1160905</t>
  </si>
  <si>
    <t>1160974</t>
  </si>
  <si>
    <t>1160991</t>
  </si>
  <si>
    <t>1160992</t>
  </si>
  <si>
    <t>1159597</t>
  </si>
  <si>
    <t>Defektní větvení. Sekundární koruna.</t>
  </si>
  <si>
    <t>1159598</t>
  </si>
  <si>
    <t>Picea pungens ‘Glauca’</t>
  </si>
  <si>
    <t>smrk pichlavý ‘Glauca’</t>
  </si>
  <si>
    <t>1159600</t>
  </si>
  <si>
    <t>2894/7</t>
  </si>
  <si>
    <t>1163951</t>
  </si>
  <si>
    <t>1163952</t>
  </si>
  <si>
    <t>Sesazený strom. Infekce kosterního větvení.</t>
  </si>
  <si>
    <t>1163953</t>
  </si>
  <si>
    <t>1163955</t>
  </si>
  <si>
    <t>1163957</t>
  </si>
  <si>
    <t>Infekce kmene. Dutina ve kmeni. Sesazený strom.</t>
  </si>
  <si>
    <t>1162829</t>
  </si>
  <si>
    <t>Infekce báze kmene s dutinou.</t>
  </si>
  <si>
    <t>1162831</t>
  </si>
  <si>
    <t>123</t>
  </si>
  <si>
    <t>1162837</t>
  </si>
  <si>
    <t>1159631</t>
  </si>
  <si>
    <t>1159662</t>
  </si>
  <si>
    <t>1159664</t>
  </si>
  <si>
    <t>Infekce báze kmene. Infekce větví. Odlomená část koruny.</t>
  </si>
  <si>
    <t>1159218</t>
  </si>
  <si>
    <t>Infekce větví. Infekce báze kmene.</t>
  </si>
  <si>
    <t>1159220</t>
  </si>
  <si>
    <t>1159227</t>
  </si>
  <si>
    <t>plocha koruny</t>
  </si>
  <si>
    <t>2702/1</t>
  </si>
  <si>
    <t>294/1</t>
  </si>
  <si>
    <t>86/1</t>
  </si>
  <si>
    <t>Ceníková položka</t>
  </si>
  <si>
    <t>9VC3230</t>
  </si>
  <si>
    <t>9VC3138</t>
  </si>
  <si>
    <t>9VC3122</t>
  </si>
  <si>
    <t>9VC3121</t>
  </si>
  <si>
    <t>9VC3140</t>
  </si>
  <si>
    <t>9VC3130</t>
  </si>
  <si>
    <t>9VC3125</t>
  </si>
  <si>
    <t>9VC3131</t>
  </si>
  <si>
    <t>9VC3136</t>
  </si>
  <si>
    <t>9VC3142</t>
  </si>
  <si>
    <t>9VC3132</t>
  </si>
  <si>
    <t>9VC3126</t>
  </si>
  <si>
    <t>9VC3134</t>
  </si>
  <si>
    <t>9VC3127</t>
  </si>
  <si>
    <t>9VC3135</t>
  </si>
  <si>
    <t>9VC3139</t>
  </si>
  <si>
    <t>9VC3144</t>
  </si>
  <si>
    <t xml:space="preserve">Ošetření dřevin </t>
  </si>
  <si>
    <t>Celkem</t>
  </si>
  <si>
    <r>
      <t>Štěpkování (90 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</si>
  <si>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t xml:space="preserve">Poznámka: </t>
  </si>
  <si>
    <t xml:space="preserve">zhotovitel doplní žlutě podbarvená pole </t>
  </si>
  <si>
    <t>Cena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</si>
</sst>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0"/>
      <name val="Arial"/>
      <family val="2"/>
      <charset val="238"/>
    </font>
    <font>
      <sz val="9"/>
      <color indexed="0"/>
      <name val="Arial"/>
      <family val="2"/>
      <charset val="238"/>
    </font>
    <font>
      <i/>
      <sz val="9"/>
      <color indexed="0"/>
      <name val="Arial"/>
      <family val="2"/>
      <charset val="238"/>
    </font>
    <font>
      <i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29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/>
    <xf numFmtId="0" fontId="2" fillId="0" borderId="1" xfId="0" applyFont="1" applyBorder="1"/>
    <xf numFmtId="0" fontId="8" fillId="0" borderId="0" xfId="0" applyFont="1"/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3" fontId="1" fillId="0" borderId="10" xfId="0" applyNumberFormat="1" applyFont="1" applyBorder="1" applyAlignment="1"/>
    <xf numFmtId="0" fontId="3" fillId="0" borderId="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3" fontId="3" fillId="0" borderId="13" xfId="0" applyNumberFormat="1" applyFont="1" applyBorder="1"/>
    <xf numFmtId="0" fontId="4" fillId="2" borderId="5" xfId="0" applyFont="1" applyFill="1" applyBorder="1" applyAlignment="1" applyProtection="1">
      <alignment horizontal="left" textRotation="90"/>
    </xf>
    <xf numFmtId="0" fontId="4" fillId="2" borderId="2" xfId="0" applyFont="1" applyFill="1" applyBorder="1" applyAlignment="1" applyProtection="1">
      <alignment horizontal="center" textRotation="90"/>
    </xf>
    <xf numFmtId="0" fontId="4" fillId="2" borderId="2" xfId="0" applyFont="1" applyFill="1" applyBorder="1" applyAlignment="1" applyProtection="1">
      <alignment horizontal="right" textRotation="90"/>
    </xf>
    <xf numFmtId="0" fontId="4" fillId="2" borderId="2" xfId="0" applyFont="1" applyFill="1" applyBorder="1" applyAlignment="1" applyProtection="1">
      <alignment horizontal="left" textRotation="90"/>
    </xf>
    <xf numFmtId="0" fontId="4" fillId="2" borderId="3" xfId="0" applyFont="1" applyFill="1" applyBorder="1" applyAlignment="1" applyProtection="1">
      <alignment horizontal="left" textRotation="90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right" vertical="center" wrapText="1"/>
    </xf>
    <xf numFmtId="0" fontId="6" fillId="0" borderId="17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3" fillId="0" borderId="17" xfId="0" applyFont="1" applyBorder="1"/>
    <xf numFmtId="0" fontId="10" fillId="0" borderId="0" xfId="0" applyFont="1"/>
    <xf numFmtId="0" fontId="10" fillId="4" borderId="0" xfId="0" applyFont="1" applyFill="1"/>
    <xf numFmtId="0" fontId="11" fillId="0" borderId="0" xfId="0" applyFont="1"/>
    <xf numFmtId="3" fontId="3" fillId="4" borderId="7" xfId="0" applyNumberFormat="1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3" fillId="4" borderId="7" xfId="0" applyFont="1" applyFill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7"/>
  <sheetViews>
    <sheetView tabSelected="1" topLeftCell="A94" workbookViewId="0">
      <selection activeCell="AE2" sqref="AE2"/>
    </sheetView>
  </sheetViews>
  <sheetFormatPr defaultRowHeight="12" x14ac:dyDescent="0.2"/>
  <cols>
    <col min="1" max="1" width="9.140625" style="1"/>
    <col min="2" max="2" width="7" style="1" customWidth="1"/>
    <col min="3" max="5" width="9.140625" style="1"/>
    <col min="6" max="6" width="3.5703125" style="1" customWidth="1"/>
    <col min="7" max="7" width="3.7109375" style="1" customWidth="1"/>
    <col min="8" max="9" width="3" style="1" customWidth="1"/>
    <col min="10" max="10" width="4.5703125" style="1" customWidth="1"/>
    <col min="11" max="11" width="4.28515625" style="1" customWidth="1"/>
    <col min="12" max="12" width="3.28515625" style="1" customWidth="1"/>
    <col min="13" max="13" width="3.7109375" style="1" customWidth="1"/>
    <col min="14" max="15" width="3.140625" style="1" customWidth="1"/>
    <col min="16" max="16" width="3.28515625" style="1" customWidth="1"/>
    <col min="17" max="17" width="3.140625" style="1" customWidth="1"/>
    <col min="18" max="19" width="9.140625" style="1"/>
    <col min="20" max="20" width="6.28515625" style="1" customWidth="1"/>
    <col min="21" max="21" width="16.140625" style="1" customWidth="1"/>
    <col min="22" max="22" width="4.42578125" style="1" customWidth="1"/>
    <col min="23" max="23" width="4.7109375" style="1" customWidth="1"/>
    <col min="24" max="24" width="10.85546875" style="1" customWidth="1"/>
    <col min="25" max="25" width="9.140625" style="1"/>
    <col min="26" max="27" width="10.7109375" style="1" customWidth="1"/>
    <col min="28" max="28" width="16.5703125" style="1" customWidth="1"/>
    <col min="29" max="29" width="6.42578125" style="1" customWidth="1"/>
    <col min="30" max="30" width="8.28515625" style="1" customWidth="1"/>
    <col min="31" max="31" width="10.7109375" style="1" bestFit="1" customWidth="1"/>
    <col min="32" max="258" width="9.140625" style="1"/>
    <col min="259" max="259" width="9.28515625" style="1" bestFit="1" customWidth="1"/>
    <col min="260" max="277" width="9.140625" style="1"/>
    <col min="278" max="278" width="10.28515625" style="1" customWidth="1"/>
    <col min="279" max="280" width="9.140625" style="1"/>
    <col min="281" max="281" width="10.85546875" style="1" customWidth="1"/>
    <col min="282" max="282" width="9.140625" style="1"/>
    <col min="283" max="284" width="12" style="1" bestFit="1" customWidth="1"/>
    <col min="285" max="285" width="9.140625" style="1"/>
    <col min="286" max="286" width="11.28515625" style="1" customWidth="1"/>
    <col min="287" max="514" width="9.140625" style="1"/>
    <col min="515" max="515" width="9.28515625" style="1" bestFit="1" customWidth="1"/>
    <col min="516" max="533" width="9.140625" style="1"/>
    <col min="534" max="534" width="10.28515625" style="1" customWidth="1"/>
    <col min="535" max="536" width="9.140625" style="1"/>
    <col min="537" max="537" width="10.85546875" style="1" customWidth="1"/>
    <col min="538" max="538" width="9.140625" style="1"/>
    <col min="539" max="540" width="12" style="1" bestFit="1" customWidth="1"/>
    <col min="541" max="541" width="9.140625" style="1"/>
    <col min="542" max="542" width="11.28515625" style="1" customWidth="1"/>
    <col min="543" max="770" width="9.140625" style="1"/>
    <col min="771" max="771" width="9.28515625" style="1" bestFit="1" customWidth="1"/>
    <col min="772" max="789" width="9.140625" style="1"/>
    <col min="790" max="790" width="10.28515625" style="1" customWidth="1"/>
    <col min="791" max="792" width="9.140625" style="1"/>
    <col min="793" max="793" width="10.85546875" style="1" customWidth="1"/>
    <col min="794" max="794" width="9.140625" style="1"/>
    <col min="795" max="796" width="12" style="1" bestFit="1" customWidth="1"/>
    <col min="797" max="797" width="9.140625" style="1"/>
    <col min="798" max="798" width="11.28515625" style="1" customWidth="1"/>
    <col min="799" max="1026" width="9.140625" style="1"/>
    <col min="1027" max="1027" width="9.28515625" style="1" bestFit="1" customWidth="1"/>
    <col min="1028" max="1045" width="9.140625" style="1"/>
    <col min="1046" max="1046" width="10.28515625" style="1" customWidth="1"/>
    <col min="1047" max="1048" width="9.140625" style="1"/>
    <col min="1049" max="1049" width="10.85546875" style="1" customWidth="1"/>
    <col min="1050" max="1050" width="9.140625" style="1"/>
    <col min="1051" max="1052" width="12" style="1" bestFit="1" customWidth="1"/>
    <col min="1053" max="1053" width="9.140625" style="1"/>
    <col min="1054" max="1054" width="11.28515625" style="1" customWidth="1"/>
    <col min="1055" max="1282" width="9.140625" style="1"/>
    <col min="1283" max="1283" width="9.28515625" style="1" bestFit="1" customWidth="1"/>
    <col min="1284" max="1301" width="9.140625" style="1"/>
    <col min="1302" max="1302" width="10.28515625" style="1" customWidth="1"/>
    <col min="1303" max="1304" width="9.140625" style="1"/>
    <col min="1305" max="1305" width="10.85546875" style="1" customWidth="1"/>
    <col min="1306" max="1306" width="9.140625" style="1"/>
    <col min="1307" max="1308" width="12" style="1" bestFit="1" customWidth="1"/>
    <col min="1309" max="1309" width="9.140625" style="1"/>
    <col min="1310" max="1310" width="11.28515625" style="1" customWidth="1"/>
    <col min="1311" max="1538" width="9.140625" style="1"/>
    <col min="1539" max="1539" width="9.28515625" style="1" bestFit="1" customWidth="1"/>
    <col min="1540" max="1557" width="9.140625" style="1"/>
    <col min="1558" max="1558" width="10.28515625" style="1" customWidth="1"/>
    <col min="1559" max="1560" width="9.140625" style="1"/>
    <col min="1561" max="1561" width="10.85546875" style="1" customWidth="1"/>
    <col min="1562" max="1562" width="9.140625" style="1"/>
    <col min="1563" max="1564" width="12" style="1" bestFit="1" customWidth="1"/>
    <col min="1565" max="1565" width="9.140625" style="1"/>
    <col min="1566" max="1566" width="11.28515625" style="1" customWidth="1"/>
    <col min="1567" max="1794" width="9.140625" style="1"/>
    <col min="1795" max="1795" width="9.28515625" style="1" bestFit="1" customWidth="1"/>
    <col min="1796" max="1813" width="9.140625" style="1"/>
    <col min="1814" max="1814" width="10.28515625" style="1" customWidth="1"/>
    <col min="1815" max="1816" width="9.140625" style="1"/>
    <col min="1817" max="1817" width="10.85546875" style="1" customWidth="1"/>
    <col min="1818" max="1818" width="9.140625" style="1"/>
    <col min="1819" max="1820" width="12" style="1" bestFit="1" customWidth="1"/>
    <col min="1821" max="1821" width="9.140625" style="1"/>
    <col min="1822" max="1822" width="11.28515625" style="1" customWidth="1"/>
    <col min="1823" max="2050" width="9.140625" style="1"/>
    <col min="2051" max="2051" width="9.28515625" style="1" bestFit="1" customWidth="1"/>
    <col min="2052" max="2069" width="9.140625" style="1"/>
    <col min="2070" max="2070" width="10.28515625" style="1" customWidth="1"/>
    <col min="2071" max="2072" width="9.140625" style="1"/>
    <col min="2073" max="2073" width="10.85546875" style="1" customWidth="1"/>
    <col min="2074" max="2074" width="9.140625" style="1"/>
    <col min="2075" max="2076" width="12" style="1" bestFit="1" customWidth="1"/>
    <col min="2077" max="2077" width="9.140625" style="1"/>
    <col min="2078" max="2078" width="11.28515625" style="1" customWidth="1"/>
    <col min="2079" max="2306" width="9.140625" style="1"/>
    <col min="2307" max="2307" width="9.28515625" style="1" bestFit="1" customWidth="1"/>
    <col min="2308" max="2325" width="9.140625" style="1"/>
    <col min="2326" max="2326" width="10.28515625" style="1" customWidth="1"/>
    <col min="2327" max="2328" width="9.140625" style="1"/>
    <col min="2329" max="2329" width="10.85546875" style="1" customWidth="1"/>
    <col min="2330" max="2330" width="9.140625" style="1"/>
    <col min="2331" max="2332" width="12" style="1" bestFit="1" customWidth="1"/>
    <col min="2333" max="2333" width="9.140625" style="1"/>
    <col min="2334" max="2334" width="11.28515625" style="1" customWidth="1"/>
    <col min="2335" max="2562" width="9.140625" style="1"/>
    <col min="2563" max="2563" width="9.28515625" style="1" bestFit="1" customWidth="1"/>
    <col min="2564" max="2581" width="9.140625" style="1"/>
    <col min="2582" max="2582" width="10.28515625" style="1" customWidth="1"/>
    <col min="2583" max="2584" width="9.140625" style="1"/>
    <col min="2585" max="2585" width="10.85546875" style="1" customWidth="1"/>
    <col min="2586" max="2586" width="9.140625" style="1"/>
    <col min="2587" max="2588" width="12" style="1" bestFit="1" customWidth="1"/>
    <col min="2589" max="2589" width="9.140625" style="1"/>
    <col min="2590" max="2590" width="11.28515625" style="1" customWidth="1"/>
    <col min="2591" max="2818" width="9.140625" style="1"/>
    <col min="2819" max="2819" width="9.28515625" style="1" bestFit="1" customWidth="1"/>
    <col min="2820" max="2837" width="9.140625" style="1"/>
    <col min="2838" max="2838" width="10.28515625" style="1" customWidth="1"/>
    <col min="2839" max="2840" width="9.140625" style="1"/>
    <col min="2841" max="2841" width="10.85546875" style="1" customWidth="1"/>
    <col min="2842" max="2842" width="9.140625" style="1"/>
    <col min="2843" max="2844" width="12" style="1" bestFit="1" customWidth="1"/>
    <col min="2845" max="2845" width="9.140625" style="1"/>
    <col min="2846" max="2846" width="11.28515625" style="1" customWidth="1"/>
    <col min="2847" max="3074" width="9.140625" style="1"/>
    <col min="3075" max="3075" width="9.28515625" style="1" bestFit="1" customWidth="1"/>
    <col min="3076" max="3093" width="9.140625" style="1"/>
    <col min="3094" max="3094" width="10.28515625" style="1" customWidth="1"/>
    <col min="3095" max="3096" width="9.140625" style="1"/>
    <col min="3097" max="3097" width="10.85546875" style="1" customWidth="1"/>
    <col min="3098" max="3098" width="9.140625" style="1"/>
    <col min="3099" max="3100" width="12" style="1" bestFit="1" customWidth="1"/>
    <col min="3101" max="3101" width="9.140625" style="1"/>
    <col min="3102" max="3102" width="11.28515625" style="1" customWidth="1"/>
    <col min="3103" max="3330" width="9.140625" style="1"/>
    <col min="3331" max="3331" width="9.28515625" style="1" bestFit="1" customWidth="1"/>
    <col min="3332" max="3349" width="9.140625" style="1"/>
    <col min="3350" max="3350" width="10.28515625" style="1" customWidth="1"/>
    <col min="3351" max="3352" width="9.140625" style="1"/>
    <col min="3353" max="3353" width="10.85546875" style="1" customWidth="1"/>
    <col min="3354" max="3354" width="9.140625" style="1"/>
    <col min="3355" max="3356" width="12" style="1" bestFit="1" customWidth="1"/>
    <col min="3357" max="3357" width="9.140625" style="1"/>
    <col min="3358" max="3358" width="11.28515625" style="1" customWidth="1"/>
    <col min="3359" max="3586" width="9.140625" style="1"/>
    <col min="3587" max="3587" width="9.28515625" style="1" bestFit="1" customWidth="1"/>
    <col min="3588" max="3605" width="9.140625" style="1"/>
    <col min="3606" max="3606" width="10.28515625" style="1" customWidth="1"/>
    <col min="3607" max="3608" width="9.140625" style="1"/>
    <col min="3609" max="3609" width="10.85546875" style="1" customWidth="1"/>
    <col min="3610" max="3610" width="9.140625" style="1"/>
    <col min="3611" max="3612" width="12" style="1" bestFit="1" customWidth="1"/>
    <col min="3613" max="3613" width="9.140625" style="1"/>
    <col min="3614" max="3614" width="11.28515625" style="1" customWidth="1"/>
    <col min="3615" max="3842" width="9.140625" style="1"/>
    <col min="3843" max="3843" width="9.28515625" style="1" bestFit="1" customWidth="1"/>
    <col min="3844" max="3861" width="9.140625" style="1"/>
    <col min="3862" max="3862" width="10.28515625" style="1" customWidth="1"/>
    <col min="3863" max="3864" width="9.140625" style="1"/>
    <col min="3865" max="3865" width="10.85546875" style="1" customWidth="1"/>
    <col min="3866" max="3866" width="9.140625" style="1"/>
    <col min="3867" max="3868" width="12" style="1" bestFit="1" customWidth="1"/>
    <col min="3869" max="3869" width="9.140625" style="1"/>
    <col min="3870" max="3870" width="11.28515625" style="1" customWidth="1"/>
    <col min="3871" max="4098" width="9.140625" style="1"/>
    <col min="4099" max="4099" width="9.28515625" style="1" bestFit="1" customWidth="1"/>
    <col min="4100" max="4117" width="9.140625" style="1"/>
    <col min="4118" max="4118" width="10.28515625" style="1" customWidth="1"/>
    <col min="4119" max="4120" width="9.140625" style="1"/>
    <col min="4121" max="4121" width="10.85546875" style="1" customWidth="1"/>
    <col min="4122" max="4122" width="9.140625" style="1"/>
    <col min="4123" max="4124" width="12" style="1" bestFit="1" customWidth="1"/>
    <col min="4125" max="4125" width="9.140625" style="1"/>
    <col min="4126" max="4126" width="11.28515625" style="1" customWidth="1"/>
    <col min="4127" max="4354" width="9.140625" style="1"/>
    <col min="4355" max="4355" width="9.28515625" style="1" bestFit="1" customWidth="1"/>
    <col min="4356" max="4373" width="9.140625" style="1"/>
    <col min="4374" max="4374" width="10.28515625" style="1" customWidth="1"/>
    <col min="4375" max="4376" width="9.140625" style="1"/>
    <col min="4377" max="4377" width="10.85546875" style="1" customWidth="1"/>
    <col min="4378" max="4378" width="9.140625" style="1"/>
    <col min="4379" max="4380" width="12" style="1" bestFit="1" customWidth="1"/>
    <col min="4381" max="4381" width="9.140625" style="1"/>
    <col min="4382" max="4382" width="11.28515625" style="1" customWidth="1"/>
    <col min="4383" max="4610" width="9.140625" style="1"/>
    <col min="4611" max="4611" width="9.28515625" style="1" bestFit="1" customWidth="1"/>
    <col min="4612" max="4629" width="9.140625" style="1"/>
    <col min="4630" max="4630" width="10.28515625" style="1" customWidth="1"/>
    <col min="4631" max="4632" width="9.140625" style="1"/>
    <col min="4633" max="4633" width="10.85546875" style="1" customWidth="1"/>
    <col min="4634" max="4634" width="9.140625" style="1"/>
    <col min="4635" max="4636" width="12" style="1" bestFit="1" customWidth="1"/>
    <col min="4637" max="4637" width="9.140625" style="1"/>
    <col min="4638" max="4638" width="11.28515625" style="1" customWidth="1"/>
    <col min="4639" max="4866" width="9.140625" style="1"/>
    <col min="4867" max="4867" width="9.28515625" style="1" bestFit="1" customWidth="1"/>
    <col min="4868" max="4885" width="9.140625" style="1"/>
    <col min="4886" max="4886" width="10.28515625" style="1" customWidth="1"/>
    <col min="4887" max="4888" width="9.140625" style="1"/>
    <col min="4889" max="4889" width="10.85546875" style="1" customWidth="1"/>
    <col min="4890" max="4890" width="9.140625" style="1"/>
    <col min="4891" max="4892" width="12" style="1" bestFit="1" customWidth="1"/>
    <col min="4893" max="4893" width="9.140625" style="1"/>
    <col min="4894" max="4894" width="11.28515625" style="1" customWidth="1"/>
    <col min="4895" max="5122" width="9.140625" style="1"/>
    <col min="5123" max="5123" width="9.28515625" style="1" bestFit="1" customWidth="1"/>
    <col min="5124" max="5141" width="9.140625" style="1"/>
    <col min="5142" max="5142" width="10.28515625" style="1" customWidth="1"/>
    <col min="5143" max="5144" width="9.140625" style="1"/>
    <col min="5145" max="5145" width="10.85546875" style="1" customWidth="1"/>
    <col min="5146" max="5146" width="9.140625" style="1"/>
    <col min="5147" max="5148" width="12" style="1" bestFit="1" customWidth="1"/>
    <col min="5149" max="5149" width="9.140625" style="1"/>
    <col min="5150" max="5150" width="11.28515625" style="1" customWidth="1"/>
    <col min="5151" max="5378" width="9.140625" style="1"/>
    <col min="5379" max="5379" width="9.28515625" style="1" bestFit="1" customWidth="1"/>
    <col min="5380" max="5397" width="9.140625" style="1"/>
    <col min="5398" max="5398" width="10.28515625" style="1" customWidth="1"/>
    <col min="5399" max="5400" width="9.140625" style="1"/>
    <col min="5401" max="5401" width="10.85546875" style="1" customWidth="1"/>
    <col min="5402" max="5402" width="9.140625" style="1"/>
    <col min="5403" max="5404" width="12" style="1" bestFit="1" customWidth="1"/>
    <col min="5405" max="5405" width="9.140625" style="1"/>
    <col min="5406" max="5406" width="11.28515625" style="1" customWidth="1"/>
    <col min="5407" max="5634" width="9.140625" style="1"/>
    <col min="5635" max="5635" width="9.28515625" style="1" bestFit="1" customWidth="1"/>
    <col min="5636" max="5653" width="9.140625" style="1"/>
    <col min="5654" max="5654" width="10.28515625" style="1" customWidth="1"/>
    <col min="5655" max="5656" width="9.140625" style="1"/>
    <col min="5657" max="5657" width="10.85546875" style="1" customWidth="1"/>
    <col min="5658" max="5658" width="9.140625" style="1"/>
    <col min="5659" max="5660" width="12" style="1" bestFit="1" customWidth="1"/>
    <col min="5661" max="5661" width="9.140625" style="1"/>
    <col min="5662" max="5662" width="11.28515625" style="1" customWidth="1"/>
    <col min="5663" max="5890" width="9.140625" style="1"/>
    <col min="5891" max="5891" width="9.28515625" style="1" bestFit="1" customWidth="1"/>
    <col min="5892" max="5909" width="9.140625" style="1"/>
    <col min="5910" max="5910" width="10.28515625" style="1" customWidth="1"/>
    <col min="5911" max="5912" width="9.140625" style="1"/>
    <col min="5913" max="5913" width="10.85546875" style="1" customWidth="1"/>
    <col min="5914" max="5914" width="9.140625" style="1"/>
    <col min="5915" max="5916" width="12" style="1" bestFit="1" customWidth="1"/>
    <col min="5917" max="5917" width="9.140625" style="1"/>
    <col min="5918" max="5918" width="11.28515625" style="1" customWidth="1"/>
    <col min="5919" max="6146" width="9.140625" style="1"/>
    <col min="6147" max="6147" width="9.28515625" style="1" bestFit="1" customWidth="1"/>
    <col min="6148" max="6165" width="9.140625" style="1"/>
    <col min="6166" max="6166" width="10.28515625" style="1" customWidth="1"/>
    <col min="6167" max="6168" width="9.140625" style="1"/>
    <col min="6169" max="6169" width="10.85546875" style="1" customWidth="1"/>
    <col min="6170" max="6170" width="9.140625" style="1"/>
    <col min="6171" max="6172" width="12" style="1" bestFit="1" customWidth="1"/>
    <col min="6173" max="6173" width="9.140625" style="1"/>
    <col min="6174" max="6174" width="11.28515625" style="1" customWidth="1"/>
    <col min="6175" max="6402" width="9.140625" style="1"/>
    <col min="6403" max="6403" width="9.28515625" style="1" bestFit="1" customWidth="1"/>
    <col min="6404" max="6421" width="9.140625" style="1"/>
    <col min="6422" max="6422" width="10.28515625" style="1" customWidth="1"/>
    <col min="6423" max="6424" width="9.140625" style="1"/>
    <col min="6425" max="6425" width="10.85546875" style="1" customWidth="1"/>
    <col min="6426" max="6426" width="9.140625" style="1"/>
    <col min="6427" max="6428" width="12" style="1" bestFit="1" customWidth="1"/>
    <col min="6429" max="6429" width="9.140625" style="1"/>
    <col min="6430" max="6430" width="11.28515625" style="1" customWidth="1"/>
    <col min="6431" max="6658" width="9.140625" style="1"/>
    <col min="6659" max="6659" width="9.28515625" style="1" bestFit="1" customWidth="1"/>
    <col min="6660" max="6677" width="9.140625" style="1"/>
    <col min="6678" max="6678" width="10.28515625" style="1" customWidth="1"/>
    <col min="6679" max="6680" width="9.140625" style="1"/>
    <col min="6681" max="6681" width="10.85546875" style="1" customWidth="1"/>
    <col min="6682" max="6682" width="9.140625" style="1"/>
    <col min="6683" max="6684" width="12" style="1" bestFit="1" customWidth="1"/>
    <col min="6685" max="6685" width="9.140625" style="1"/>
    <col min="6686" max="6686" width="11.28515625" style="1" customWidth="1"/>
    <col min="6687" max="6914" width="9.140625" style="1"/>
    <col min="6915" max="6915" width="9.28515625" style="1" bestFit="1" customWidth="1"/>
    <col min="6916" max="6933" width="9.140625" style="1"/>
    <col min="6934" max="6934" width="10.28515625" style="1" customWidth="1"/>
    <col min="6935" max="6936" width="9.140625" style="1"/>
    <col min="6937" max="6937" width="10.85546875" style="1" customWidth="1"/>
    <col min="6938" max="6938" width="9.140625" style="1"/>
    <col min="6939" max="6940" width="12" style="1" bestFit="1" customWidth="1"/>
    <col min="6941" max="6941" width="9.140625" style="1"/>
    <col min="6942" max="6942" width="11.28515625" style="1" customWidth="1"/>
    <col min="6943" max="7170" width="9.140625" style="1"/>
    <col min="7171" max="7171" width="9.28515625" style="1" bestFit="1" customWidth="1"/>
    <col min="7172" max="7189" width="9.140625" style="1"/>
    <col min="7190" max="7190" width="10.28515625" style="1" customWidth="1"/>
    <col min="7191" max="7192" width="9.140625" style="1"/>
    <col min="7193" max="7193" width="10.85546875" style="1" customWidth="1"/>
    <col min="7194" max="7194" width="9.140625" style="1"/>
    <col min="7195" max="7196" width="12" style="1" bestFit="1" customWidth="1"/>
    <col min="7197" max="7197" width="9.140625" style="1"/>
    <col min="7198" max="7198" width="11.28515625" style="1" customWidth="1"/>
    <col min="7199" max="7426" width="9.140625" style="1"/>
    <col min="7427" max="7427" width="9.28515625" style="1" bestFit="1" customWidth="1"/>
    <col min="7428" max="7445" width="9.140625" style="1"/>
    <col min="7446" max="7446" width="10.28515625" style="1" customWidth="1"/>
    <col min="7447" max="7448" width="9.140625" style="1"/>
    <col min="7449" max="7449" width="10.85546875" style="1" customWidth="1"/>
    <col min="7450" max="7450" width="9.140625" style="1"/>
    <col min="7451" max="7452" width="12" style="1" bestFit="1" customWidth="1"/>
    <col min="7453" max="7453" width="9.140625" style="1"/>
    <col min="7454" max="7454" width="11.28515625" style="1" customWidth="1"/>
    <col min="7455" max="7682" width="9.140625" style="1"/>
    <col min="7683" max="7683" width="9.28515625" style="1" bestFit="1" customWidth="1"/>
    <col min="7684" max="7701" width="9.140625" style="1"/>
    <col min="7702" max="7702" width="10.28515625" style="1" customWidth="1"/>
    <col min="7703" max="7704" width="9.140625" style="1"/>
    <col min="7705" max="7705" width="10.85546875" style="1" customWidth="1"/>
    <col min="7706" max="7706" width="9.140625" style="1"/>
    <col min="7707" max="7708" width="12" style="1" bestFit="1" customWidth="1"/>
    <col min="7709" max="7709" width="9.140625" style="1"/>
    <col min="7710" max="7710" width="11.28515625" style="1" customWidth="1"/>
    <col min="7711" max="7938" width="9.140625" style="1"/>
    <col min="7939" max="7939" width="9.28515625" style="1" bestFit="1" customWidth="1"/>
    <col min="7940" max="7957" width="9.140625" style="1"/>
    <col min="7958" max="7958" width="10.28515625" style="1" customWidth="1"/>
    <col min="7959" max="7960" width="9.140625" style="1"/>
    <col min="7961" max="7961" width="10.85546875" style="1" customWidth="1"/>
    <col min="7962" max="7962" width="9.140625" style="1"/>
    <col min="7963" max="7964" width="12" style="1" bestFit="1" customWidth="1"/>
    <col min="7965" max="7965" width="9.140625" style="1"/>
    <col min="7966" max="7966" width="11.28515625" style="1" customWidth="1"/>
    <col min="7967" max="8194" width="9.140625" style="1"/>
    <col min="8195" max="8195" width="9.28515625" style="1" bestFit="1" customWidth="1"/>
    <col min="8196" max="8213" width="9.140625" style="1"/>
    <col min="8214" max="8214" width="10.28515625" style="1" customWidth="1"/>
    <col min="8215" max="8216" width="9.140625" style="1"/>
    <col min="8217" max="8217" width="10.85546875" style="1" customWidth="1"/>
    <col min="8218" max="8218" width="9.140625" style="1"/>
    <col min="8219" max="8220" width="12" style="1" bestFit="1" customWidth="1"/>
    <col min="8221" max="8221" width="9.140625" style="1"/>
    <col min="8222" max="8222" width="11.28515625" style="1" customWidth="1"/>
    <col min="8223" max="8450" width="9.140625" style="1"/>
    <col min="8451" max="8451" width="9.28515625" style="1" bestFit="1" customWidth="1"/>
    <col min="8452" max="8469" width="9.140625" style="1"/>
    <col min="8470" max="8470" width="10.28515625" style="1" customWidth="1"/>
    <col min="8471" max="8472" width="9.140625" style="1"/>
    <col min="8473" max="8473" width="10.85546875" style="1" customWidth="1"/>
    <col min="8474" max="8474" width="9.140625" style="1"/>
    <col min="8475" max="8476" width="12" style="1" bestFit="1" customWidth="1"/>
    <col min="8477" max="8477" width="9.140625" style="1"/>
    <col min="8478" max="8478" width="11.28515625" style="1" customWidth="1"/>
    <col min="8479" max="8706" width="9.140625" style="1"/>
    <col min="8707" max="8707" width="9.28515625" style="1" bestFit="1" customWidth="1"/>
    <col min="8708" max="8725" width="9.140625" style="1"/>
    <col min="8726" max="8726" width="10.28515625" style="1" customWidth="1"/>
    <col min="8727" max="8728" width="9.140625" style="1"/>
    <col min="8729" max="8729" width="10.85546875" style="1" customWidth="1"/>
    <col min="8730" max="8730" width="9.140625" style="1"/>
    <col min="8731" max="8732" width="12" style="1" bestFit="1" customWidth="1"/>
    <col min="8733" max="8733" width="9.140625" style="1"/>
    <col min="8734" max="8734" width="11.28515625" style="1" customWidth="1"/>
    <col min="8735" max="8962" width="9.140625" style="1"/>
    <col min="8963" max="8963" width="9.28515625" style="1" bestFit="1" customWidth="1"/>
    <col min="8964" max="8981" width="9.140625" style="1"/>
    <col min="8982" max="8982" width="10.28515625" style="1" customWidth="1"/>
    <col min="8983" max="8984" width="9.140625" style="1"/>
    <col min="8985" max="8985" width="10.85546875" style="1" customWidth="1"/>
    <col min="8986" max="8986" width="9.140625" style="1"/>
    <col min="8987" max="8988" width="12" style="1" bestFit="1" customWidth="1"/>
    <col min="8989" max="8989" width="9.140625" style="1"/>
    <col min="8990" max="8990" width="11.28515625" style="1" customWidth="1"/>
    <col min="8991" max="9218" width="9.140625" style="1"/>
    <col min="9219" max="9219" width="9.28515625" style="1" bestFit="1" customWidth="1"/>
    <col min="9220" max="9237" width="9.140625" style="1"/>
    <col min="9238" max="9238" width="10.28515625" style="1" customWidth="1"/>
    <col min="9239" max="9240" width="9.140625" style="1"/>
    <col min="9241" max="9241" width="10.85546875" style="1" customWidth="1"/>
    <col min="9242" max="9242" width="9.140625" style="1"/>
    <col min="9243" max="9244" width="12" style="1" bestFit="1" customWidth="1"/>
    <col min="9245" max="9245" width="9.140625" style="1"/>
    <col min="9246" max="9246" width="11.28515625" style="1" customWidth="1"/>
    <col min="9247" max="9474" width="9.140625" style="1"/>
    <col min="9475" max="9475" width="9.28515625" style="1" bestFit="1" customWidth="1"/>
    <col min="9476" max="9493" width="9.140625" style="1"/>
    <col min="9494" max="9494" width="10.28515625" style="1" customWidth="1"/>
    <col min="9495" max="9496" width="9.140625" style="1"/>
    <col min="9497" max="9497" width="10.85546875" style="1" customWidth="1"/>
    <col min="9498" max="9498" width="9.140625" style="1"/>
    <col min="9499" max="9500" width="12" style="1" bestFit="1" customWidth="1"/>
    <col min="9501" max="9501" width="9.140625" style="1"/>
    <col min="9502" max="9502" width="11.28515625" style="1" customWidth="1"/>
    <col min="9503" max="9730" width="9.140625" style="1"/>
    <col min="9731" max="9731" width="9.28515625" style="1" bestFit="1" customWidth="1"/>
    <col min="9732" max="9749" width="9.140625" style="1"/>
    <col min="9750" max="9750" width="10.28515625" style="1" customWidth="1"/>
    <col min="9751" max="9752" width="9.140625" style="1"/>
    <col min="9753" max="9753" width="10.85546875" style="1" customWidth="1"/>
    <col min="9754" max="9754" width="9.140625" style="1"/>
    <col min="9755" max="9756" width="12" style="1" bestFit="1" customWidth="1"/>
    <col min="9757" max="9757" width="9.140625" style="1"/>
    <col min="9758" max="9758" width="11.28515625" style="1" customWidth="1"/>
    <col min="9759" max="9986" width="9.140625" style="1"/>
    <col min="9987" max="9987" width="9.28515625" style="1" bestFit="1" customWidth="1"/>
    <col min="9988" max="10005" width="9.140625" style="1"/>
    <col min="10006" max="10006" width="10.28515625" style="1" customWidth="1"/>
    <col min="10007" max="10008" width="9.140625" style="1"/>
    <col min="10009" max="10009" width="10.85546875" style="1" customWidth="1"/>
    <col min="10010" max="10010" width="9.140625" style="1"/>
    <col min="10011" max="10012" width="12" style="1" bestFit="1" customWidth="1"/>
    <col min="10013" max="10013" width="9.140625" style="1"/>
    <col min="10014" max="10014" width="11.28515625" style="1" customWidth="1"/>
    <col min="10015" max="10242" width="9.140625" style="1"/>
    <col min="10243" max="10243" width="9.28515625" style="1" bestFit="1" customWidth="1"/>
    <col min="10244" max="10261" width="9.140625" style="1"/>
    <col min="10262" max="10262" width="10.28515625" style="1" customWidth="1"/>
    <col min="10263" max="10264" width="9.140625" style="1"/>
    <col min="10265" max="10265" width="10.85546875" style="1" customWidth="1"/>
    <col min="10266" max="10266" width="9.140625" style="1"/>
    <col min="10267" max="10268" width="12" style="1" bestFit="1" customWidth="1"/>
    <col min="10269" max="10269" width="9.140625" style="1"/>
    <col min="10270" max="10270" width="11.28515625" style="1" customWidth="1"/>
    <col min="10271" max="10498" width="9.140625" style="1"/>
    <col min="10499" max="10499" width="9.28515625" style="1" bestFit="1" customWidth="1"/>
    <col min="10500" max="10517" width="9.140625" style="1"/>
    <col min="10518" max="10518" width="10.28515625" style="1" customWidth="1"/>
    <col min="10519" max="10520" width="9.140625" style="1"/>
    <col min="10521" max="10521" width="10.85546875" style="1" customWidth="1"/>
    <col min="10522" max="10522" width="9.140625" style="1"/>
    <col min="10523" max="10524" width="12" style="1" bestFit="1" customWidth="1"/>
    <col min="10525" max="10525" width="9.140625" style="1"/>
    <col min="10526" max="10526" width="11.28515625" style="1" customWidth="1"/>
    <col min="10527" max="10754" width="9.140625" style="1"/>
    <col min="10755" max="10755" width="9.28515625" style="1" bestFit="1" customWidth="1"/>
    <col min="10756" max="10773" width="9.140625" style="1"/>
    <col min="10774" max="10774" width="10.28515625" style="1" customWidth="1"/>
    <col min="10775" max="10776" width="9.140625" style="1"/>
    <col min="10777" max="10777" width="10.85546875" style="1" customWidth="1"/>
    <col min="10778" max="10778" width="9.140625" style="1"/>
    <col min="10779" max="10780" width="12" style="1" bestFit="1" customWidth="1"/>
    <col min="10781" max="10781" width="9.140625" style="1"/>
    <col min="10782" max="10782" width="11.28515625" style="1" customWidth="1"/>
    <col min="10783" max="11010" width="9.140625" style="1"/>
    <col min="11011" max="11011" width="9.28515625" style="1" bestFit="1" customWidth="1"/>
    <col min="11012" max="11029" width="9.140625" style="1"/>
    <col min="11030" max="11030" width="10.28515625" style="1" customWidth="1"/>
    <col min="11031" max="11032" width="9.140625" style="1"/>
    <col min="11033" max="11033" width="10.85546875" style="1" customWidth="1"/>
    <col min="11034" max="11034" width="9.140625" style="1"/>
    <col min="11035" max="11036" width="12" style="1" bestFit="1" customWidth="1"/>
    <col min="11037" max="11037" width="9.140625" style="1"/>
    <col min="11038" max="11038" width="11.28515625" style="1" customWidth="1"/>
    <col min="11039" max="11266" width="9.140625" style="1"/>
    <col min="11267" max="11267" width="9.28515625" style="1" bestFit="1" customWidth="1"/>
    <col min="11268" max="11285" width="9.140625" style="1"/>
    <col min="11286" max="11286" width="10.28515625" style="1" customWidth="1"/>
    <col min="11287" max="11288" width="9.140625" style="1"/>
    <col min="11289" max="11289" width="10.85546875" style="1" customWidth="1"/>
    <col min="11290" max="11290" width="9.140625" style="1"/>
    <col min="11291" max="11292" width="12" style="1" bestFit="1" customWidth="1"/>
    <col min="11293" max="11293" width="9.140625" style="1"/>
    <col min="11294" max="11294" width="11.28515625" style="1" customWidth="1"/>
    <col min="11295" max="11522" width="9.140625" style="1"/>
    <col min="11523" max="11523" width="9.28515625" style="1" bestFit="1" customWidth="1"/>
    <col min="11524" max="11541" width="9.140625" style="1"/>
    <col min="11542" max="11542" width="10.28515625" style="1" customWidth="1"/>
    <col min="11543" max="11544" width="9.140625" style="1"/>
    <col min="11545" max="11545" width="10.85546875" style="1" customWidth="1"/>
    <col min="11546" max="11546" width="9.140625" style="1"/>
    <col min="11547" max="11548" width="12" style="1" bestFit="1" customWidth="1"/>
    <col min="11549" max="11549" width="9.140625" style="1"/>
    <col min="11550" max="11550" width="11.28515625" style="1" customWidth="1"/>
    <col min="11551" max="11778" width="9.140625" style="1"/>
    <col min="11779" max="11779" width="9.28515625" style="1" bestFit="1" customWidth="1"/>
    <col min="11780" max="11797" width="9.140625" style="1"/>
    <col min="11798" max="11798" width="10.28515625" style="1" customWidth="1"/>
    <col min="11799" max="11800" width="9.140625" style="1"/>
    <col min="11801" max="11801" width="10.85546875" style="1" customWidth="1"/>
    <col min="11802" max="11802" width="9.140625" style="1"/>
    <col min="11803" max="11804" width="12" style="1" bestFit="1" customWidth="1"/>
    <col min="11805" max="11805" width="9.140625" style="1"/>
    <col min="11806" max="11806" width="11.28515625" style="1" customWidth="1"/>
    <col min="11807" max="12034" width="9.140625" style="1"/>
    <col min="12035" max="12035" width="9.28515625" style="1" bestFit="1" customWidth="1"/>
    <col min="12036" max="12053" width="9.140625" style="1"/>
    <col min="12054" max="12054" width="10.28515625" style="1" customWidth="1"/>
    <col min="12055" max="12056" width="9.140625" style="1"/>
    <col min="12057" max="12057" width="10.85546875" style="1" customWidth="1"/>
    <col min="12058" max="12058" width="9.140625" style="1"/>
    <col min="12059" max="12060" width="12" style="1" bestFit="1" customWidth="1"/>
    <col min="12061" max="12061" width="9.140625" style="1"/>
    <col min="12062" max="12062" width="11.28515625" style="1" customWidth="1"/>
    <col min="12063" max="12290" width="9.140625" style="1"/>
    <col min="12291" max="12291" width="9.28515625" style="1" bestFit="1" customWidth="1"/>
    <col min="12292" max="12309" width="9.140625" style="1"/>
    <col min="12310" max="12310" width="10.28515625" style="1" customWidth="1"/>
    <col min="12311" max="12312" width="9.140625" style="1"/>
    <col min="12313" max="12313" width="10.85546875" style="1" customWidth="1"/>
    <col min="12314" max="12314" width="9.140625" style="1"/>
    <col min="12315" max="12316" width="12" style="1" bestFit="1" customWidth="1"/>
    <col min="12317" max="12317" width="9.140625" style="1"/>
    <col min="12318" max="12318" width="11.28515625" style="1" customWidth="1"/>
    <col min="12319" max="12546" width="9.140625" style="1"/>
    <col min="12547" max="12547" width="9.28515625" style="1" bestFit="1" customWidth="1"/>
    <col min="12548" max="12565" width="9.140625" style="1"/>
    <col min="12566" max="12566" width="10.28515625" style="1" customWidth="1"/>
    <col min="12567" max="12568" width="9.140625" style="1"/>
    <col min="12569" max="12569" width="10.85546875" style="1" customWidth="1"/>
    <col min="12570" max="12570" width="9.140625" style="1"/>
    <col min="12571" max="12572" width="12" style="1" bestFit="1" customWidth="1"/>
    <col min="12573" max="12573" width="9.140625" style="1"/>
    <col min="12574" max="12574" width="11.28515625" style="1" customWidth="1"/>
    <col min="12575" max="12802" width="9.140625" style="1"/>
    <col min="12803" max="12803" width="9.28515625" style="1" bestFit="1" customWidth="1"/>
    <col min="12804" max="12821" width="9.140625" style="1"/>
    <col min="12822" max="12822" width="10.28515625" style="1" customWidth="1"/>
    <col min="12823" max="12824" width="9.140625" style="1"/>
    <col min="12825" max="12825" width="10.85546875" style="1" customWidth="1"/>
    <col min="12826" max="12826" width="9.140625" style="1"/>
    <col min="12827" max="12828" width="12" style="1" bestFit="1" customWidth="1"/>
    <col min="12829" max="12829" width="9.140625" style="1"/>
    <col min="12830" max="12830" width="11.28515625" style="1" customWidth="1"/>
    <col min="12831" max="13058" width="9.140625" style="1"/>
    <col min="13059" max="13059" width="9.28515625" style="1" bestFit="1" customWidth="1"/>
    <col min="13060" max="13077" width="9.140625" style="1"/>
    <col min="13078" max="13078" width="10.28515625" style="1" customWidth="1"/>
    <col min="13079" max="13080" width="9.140625" style="1"/>
    <col min="13081" max="13081" width="10.85546875" style="1" customWidth="1"/>
    <col min="13082" max="13082" width="9.140625" style="1"/>
    <col min="13083" max="13084" width="12" style="1" bestFit="1" customWidth="1"/>
    <col min="13085" max="13085" width="9.140625" style="1"/>
    <col min="13086" max="13086" width="11.28515625" style="1" customWidth="1"/>
    <col min="13087" max="13314" width="9.140625" style="1"/>
    <col min="13315" max="13315" width="9.28515625" style="1" bestFit="1" customWidth="1"/>
    <col min="13316" max="13333" width="9.140625" style="1"/>
    <col min="13334" max="13334" width="10.28515625" style="1" customWidth="1"/>
    <col min="13335" max="13336" width="9.140625" style="1"/>
    <col min="13337" max="13337" width="10.85546875" style="1" customWidth="1"/>
    <col min="13338" max="13338" width="9.140625" style="1"/>
    <col min="13339" max="13340" width="12" style="1" bestFit="1" customWidth="1"/>
    <col min="13341" max="13341" width="9.140625" style="1"/>
    <col min="13342" max="13342" width="11.28515625" style="1" customWidth="1"/>
    <col min="13343" max="13570" width="9.140625" style="1"/>
    <col min="13571" max="13571" width="9.28515625" style="1" bestFit="1" customWidth="1"/>
    <col min="13572" max="13589" width="9.140625" style="1"/>
    <col min="13590" max="13590" width="10.28515625" style="1" customWidth="1"/>
    <col min="13591" max="13592" width="9.140625" style="1"/>
    <col min="13593" max="13593" width="10.85546875" style="1" customWidth="1"/>
    <col min="13594" max="13594" width="9.140625" style="1"/>
    <col min="13595" max="13596" width="12" style="1" bestFit="1" customWidth="1"/>
    <col min="13597" max="13597" width="9.140625" style="1"/>
    <col min="13598" max="13598" width="11.28515625" style="1" customWidth="1"/>
    <col min="13599" max="13826" width="9.140625" style="1"/>
    <col min="13827" max="13827" width="9.28515625" style="1" bestFit="1" customWidth="1"/>
    <col min="13828" max="13845" width="9.140625" style="1"/>
    <col min="13846" max="13846" width="10.28515625" style="1" customWidth="1"/>
    <col min="13847" max="13848" width="9.140625" style="1"/>
    <col min="13849" max="13849" width="10.85546875" style="1" customWidth="1"/>
    <col min="13850" max="13850" width="9.140625" style="1"/>
    <col min="13851" max="13852" width="12" style="1" bestFit="1" customWidth="1"/>
    <col min="13853" max="13853" width="9.140625" style="1"/>
    <col min="13854" max="13854" width="11.28515625" style="1" customWidth="1"/>
    <col min="13855" max="14082" width="9.140625" style="1"/>
    <col min="14083" max="14083" width="9.28515625" style="1" bestFit="1" customWidth="1"/>
    <col min="14084" max="14101" width="9.140625" style="1"/>
    <col min="14102" max="14102" width="10.28515625" style="1" customWidth="1"/>
    <col min="14103" max="14104" width="9.140625" style="1"/>
    <col min="14105" max="14105" width="10.85546875" style="1" customWidth="1"/>
    <col min="14106" max="14106" width="9.140625" style="1"/>
    <col min="14107" max="14108" width="12" style="1" bestFit="1" customWidth="1"/>
    <col min="14109" max="14109" width="9.140625" style="1"/>
    <col min="14110" max="14110" width="11.28515625" style="1" customWidth="1"/>
    <col min="14111" max="14338" width="9.140625" style="1"/>
    <col min="14339" max="14339" width="9.28515625" style="1" bestFit="1" customWidth="1"/>
    <col min="14340" max="14357" width="9.140625" style="1"/>
    <col min="14358" max="14358" width="10.28515625" style="1" customWidth="1"/>
    <col min="14359" max="14360" width="9.140625" style="1"/>
    <col min="14361" max="14361" width="10.85546875" style="1" customWidth="1"/>
    <col min="14362" max="14362" width="9.140625" style="1"/>
    <col min="14363" max="14364" width="12" style="1" bestFit="1" customWidth="1"/>
    <col min="14365" max="14365" width="9.140625" style="1"/>
    <col min="14366" max="14366" width="11.28515625" style="1" customWidth="1"/>
    <col min="14367" max="14594" width="9.140625" style="1"/>
    <col min="14595" max="14595" width="9.28515625" style="1" bestFit="1" customWidth="1"/>
    <col min="14596" max="14613" width="9.140625" style="1"/>
    <col min="14614" max="14614" width="10.28515625" style="1" customWidth="1"/>
    <col min="14615" max="14616" width="9.140625" style="1"/>
    <col min="14617" max="14617" width="10.85546875" style="1" customWidth="1"/>
    <col min="14618" max="14618" width="9.140625" style="1"/>
    <col min="14619" max="14620" width="12" style="1" bestFit="1" customWidth="1"/>
    <col min="14621" max="14621" width="9.140625" style="1"/>
    <col min="14622" max="14622" width="11.28515625" style="1" customWidth="1"/>
    <col min="14623" max="14850" width="9.140625" style="1"/>
    <col min="14851" max="14851" width="9.28515625" style="1" bestFit="1" customWidth="1"/>
    <col min="14852" max="14869" width="9.140625" style="1"/>
    <col min="14870" max="14870" width="10.28515625" style="1" customWidth="1"/>
    <col min="14871" max="14872" width="9.140625" style="1"/>
    <col min="14873" max="14873" width="10.85546875" style="1" customWidth="1"/>
    <col min="14874" max="14874" width="9.140625" style="1"/>
    <col min="14875" max="14876" width="12" style="1" bestFit="1" customWidth="1"/>
    <col min="14877" max="14877" width="9.140625" style="1"/>
    <col min="14878" max="14878" width="11.28515625" style="1" customWidth="1"/>
    <col min="14879" max="15106" width="9.140625" style="1"/>
    <col min="15107" max="15107" width="9.28515625" style="1" bestFit="1" customWidth="1"/>
    <col min="15108" max="15125" width="9.140625" style="1"/>
    <col min="15126" max="15126" width="10.28515625" style="1" customWidth="1"/>
    <col min="15127" max="15128" width="9.140625" style="1"/>
    <col min="15129" max="15129" width="10.85546875" style="1" customWidth="1"/>
    <col min="15130" max="15130" width="9.140625" style="1"/>
    <col min="15131" max="15132" width="12" style="1" bestFit="1" customWidth="1"/>
    <col min="15133" max="15133" width="9.140625" style="1"/>
    <col min="15134" max="15134" width="11.28515625" style="1" customWidth="1"/>
    <col min="15135" max="15362" width="9.140625" style="1"/>
    <col min="15363" max="15363" width="9.28515625" style="1" bestFit="1" customWidth="1"/>
    <col min="15364" max="15381" width="9.140625" style="1"/>
    <col min="15382" max="15382" width="10.28515625" style="1" customWidth="1"/>
    <col min="15383" max="15384" width="9.140625" style="1"/>
    <col min="15385" max="15385" width="10.85546875" style="1" customWidth="1"/>
    <col min="15386" max="15386" width="9.140625" style="1"/>
    <col min="15387" max="15388" width="12" style="1" bestFit="1" customWidth="1"/>
    <col min="15389" max="15389" width="9.140625" style="1"/>
    <col min="15390" max="15390" width="11.28515625" style="1" customWidth="1"/>
    <col min="15391" max="15618" width="9.140625" style="1"/>
    <col min="15619" max="15619" width="9.28515625" style="1" bestFit="1" customWidth="1"/>
    <col min="15620" max="15637" width="9.140625" style="1"/>
    <col min="15638" max="15638" width="10.28515625" style="1" customWidth="1"/>
    <col min="15639" max="15640" width="9.140625" style="1"/>
    <col min="15641" max="15641" width="10.85546875" style="1" customWidth="1"/>
    <col min="15642" max="15642" width="9.140625" style="1"/>
    <col min="15643" max="15644" width="12" style="1" bestFit="1" customWidth="1"/>
    <col min="15645" max="15645" width="9.140625" style="1"/>
    <col min="15646" max="15646" width="11.28515625" style="1" customWidth="1"/>
    <col min="15647" max="15874" width="9.140625" style="1"/>
    <col min="15875" max="15875" width="9.28515625" style="1" bestFit="1" customWidth="1"/>
    <col min="15876" max="15893" width="9.140625" style="1"/>
    <col min="15894" max="15894" width="10.28515625" style="1" customWidth="1"/>
    <col min="15895" max="15896" width="9.140625" style="1"/>
    <col min="15897" max="15897" width="10.85546875" style="1" customWidth="1"/>
    <col min="15898" max="15898" width="9.140625" style="1"/>
    <col min="15899" max="15900" width="12" style="1" bestFit="1" customWidth="1"/>
    <col min="15901" max="15901" width="9.140625" style="1"/>
    <col min="15902" max="15902" width="11.28515625" style="1" customWidth="1"/>
    <col min="15903" max="16130" width="9.140625" style="1"/>
    <col min="16131" max="16131" width="9.28515625" style="1" bestFit="1" customWidth="1"/>
    <col min="16132" max="16149" width="9.140625" style="1"/>
    <col min="16150" max="16150" width="10.28515625" style="1" customWidth="1"/>
    <col min="16151" max="16152" width="9.140625" style="1"/>
    <col min="16153" max="16153" width="10.85546875" style="1" customWidth="1"/>
    <col min="16154" max="16154" width="9.140625" style="1"/>
    <col min="16155" max="16156" width="12" style="1" bestFit="1" customWidth="1"/>
    <col min="16157" max="16157" width="9.140625" style="1"/>
    <col min="16158" max="16158" width="11.28515625" style="1" customWidth="1"/>
    <col min="16159" max="16384" width="9.140625" style="1"/>
  </cols>
  <sheetData>
    <row r="1" spans="1:31" ht="84" customHeight="1" x14ac:dyDescent="0.2">
      <c r="A1" s="21" t="s">
        <v>0</v>
      </c>
      <c r="B1" s="22" t="s">
        <v>1</v>
      </c>
      <c r="C1" s="23" t="s">
        <v>2</v>
      </c>
      <c r="D1" s="24" t="s">
        <v>3</v>
      </c>
      <c r="E1" s="24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2" t="s">
        <v>21</v>
      </c>
      <c r="W1" s="22" t="s">
        <v>22</v>
      </c>
      <c r="X1" s="22" t="s">
        <v>23</v>
      </c>
      <c r="Y1" s="24" t="s">
        <v>24</v>
      </c>
      <c r="Z1" s="24" t="s">
        <v>25</v>
      </c>
      <c r="AA1" s="24" t="s">
        <v>26</v>
      </c>
      <c r="AB1" s="24" t="s">
        <v>27</v>
      </c>
      <c r="AC1" s="24" t="s">
        <v>859</v>
      </c>
      <c r="AD1" s="24" t="s">
        <v>863</v>
      </c>
      <c r="AE1" s="25" t="s">
        <v>886</v>
      </c>
    </row>
    <row r="2" spans="1:31" ht="35.1" customHeight="1" x14ac:dyDescent="0.2">
      <c r="A2" s="26" t="s">
        <v>52</v>
      </c>
      <c r="B2" s="12">
        <v>10074</v>
      </c>
      <c r="C2" s="13" t="s">
        <v>383</v>
      </c>
      <c r="D2" s="14" t="s">
        <v>62</v>
      </c>
      <c r="E2" s="11" t="s">
        <v>63</v>
      </c>
      <c r="F2" s="12" t="s">
        <v>152</v>
      </c>
      <c r="G2" s="12" t="s">
        <v>219</v>
      </c>
      <c r="H2" s="12" t="s">
        <v>131</v>
      </c>
      <c r="I2" s="12" t="s">
        <v>131</v>
      </c>
      <c r="J2" s="12" t="s">
        <v>75</v>
      </c>
      <c r="K2" s="12" t="s">
        <v>43</v>
      </c>
      <c r="L2" s="12" t="s">
        <v>47</v>
      </c>
      <c r="M2" s="12" t="s">
        <v>34</v>
      </c>
      <c r="N2" s="12" t="s">
        <v>105</v>
      </c>
      <c r="O2" s="12" t="s">
        <v>46</v>
      </c>
      <c r="P2" s="12" t="s">
        <v>37</v>
      </c>
      <c r="Q2" s="12" t="s">
        <v>37</v>
      </c>
      <c r="R2" s="11" t="s">
        <v>171</v>
      </c>
      <c r="S2" s="11" t="s">
        <v>58</v>
      </c>
      <c r="T2" s="11">
        <v>1516</v>
      </c>
      <c r="U2" s="11" t="s">
        <v>384</v>
      </c>
      <c r="V2" s="12" t="s">
        <v>95</v>
      </c>
      <c r="W2" s="12" t="s">
        <v>46</v>
      </c>
      <c r="X2" s="12" t="s">
        <v>385</v>
      </c>
      <c r="Y2" s="11" t="str">
        <f>HYPERLINK("https://www.stromypodkontrolou.cz/map/tree/d41bce85-5010-4276-b929-4760db78c679/77c79beb-b1c4-40a5-8612-24f8e6e2982d")</f>
        <v>https://www.stromypodkontrolou.cz/map/tree/d41bce85-5010-4276-b929-4760db78c679/77c79beb-b1c4-40a5-8612-24f8e6e2982d</v>
      </c>
      <c r="Z2" s="11">
        <v>-762612.76847100002</v>
      </c>
      <c r="AA2" s="11">
        <v>-984442.97163399996</v>
      </c>
      <c r="AB2" s="11" t="str">
        <f>HYPERLINK("https://www.mapy.cz?st=search&amp;fr=50.58421443 14.03149836")</f>
        <v>https://www.mapy.cz?st=search&amp;fr=50.58421443 14.03149836</v>
      </c>
      <c r="AC2" s="6">
        <f>(J2-K2)*L2</f>
        <v>180</v>
      </c>
      <c r="AD2" s="6" t="s">
        <v>865</v>
      </c>
      <c r="AE2" s="37"/>
    </row>
    <row r="3" spans="1:31" ht="35.1" customHeight="1" x14ac:dyDescent="0.2">
      <c r="A3" s="26" t="s">
        <v>52</v>
      </c>
      <c r="B3" s="12">
        <v>10076</v>
      </c>
      <c r="C3" s="13" t="s">
        <v>387</v>
      </c>
      <c r="D3" s="14" t="s">
        <v>62</v>
      </c>
      <c r="E3" s="11" t="s">
        <v>63</v>
      </c>
      <c r="F3" s="12" t="s">
        <v>81</v>
      </c>
      <c r="G3" s="12" t="s">
        <v>179</v>
      </c>
      <c r="H3" s="12" t="s">
        <v>65</v>
      </c>
      <c r="I3" s="12" t="s">
        <v>131</v>
      </c>
      <c r="J3" s="12" t="s">
        <v>75</v>
      </c>
      <c r="K3" s="12" t="s">
        <v>43</v>
      </c>
      <c r="L3" s="12" t="s">
        <v>118</v>
      </c>
      <c r="M3" s="12" t="s">
        <v>34</v>
      </c>
      <c r="N3" s="12" t="s">
        <v>105</v>
      </c>
      <c r="O3" s="12" t="s">
        <v>46</v>
      </c>
      <c r="P3" s="12" t="s">
        <v>37</v>
      </c>
      <c r="Q3" s="12" t="s">
        <v>37</v>
      </c>
      <c r="R3" s="11" t="s">
        <v>171</v>
      </c>
      <c r="S3" s="11" t="s">
        <v>58</v>
      </c>
      <c r="T3" s="11">
        <v>1516</v>
      </c>
      <c r="U3" s="11" t="s">
        <v>384</v>
      </c>
      <c r="V3" s="12" t="s">
        <v>95</v>
      </c>
      <c r="W3" s="12" t="s">
        <v>46</v>
      </c>
      <c r="X3" s="12" t="s">
        <v>388</v>
      </c>
      <c r="Y3" s="11" t="str">
        <f>HYPERLINK("https://www.stromypodkontrolou.cz/map/tree/d41bce85-5010-4276-b929-4760db78c679/57620fc0-dd96-40e9-9c1e-d94bf8f4595d")</f>
        <v>https://www.stromypodkontrolou.cz/map/tree/d41bce85-5010-4276-b929-4760db78c679/57620fc0-dd96-40e9-9c1e-d94bf8f4595d</v>
      </c>
      <c r="Z3" s="11">
        <v>-762607.08143699996</v>
      </c>
      <c r="AA3" s="11">
        <v>-984460.24137399998</v>
      </c>
      <c r="AB3" s="11" t="str">
        <f>HYPERLINK("https://www.mapy.cz?st=search&amp;fr=50.58406796 14.03161235")</f>
        <v>https://www.mapy.cz?st=search&amp;fr=50.58406796 14.03161235</v>
      </c>
      <c r="AC3" s="6">
        <f t="shared" ref="AC3:AC8" si="0">(J3-K3)*L3</f>
        <v>225</v>
      </c>
      <c r="AD3" s="6" t="s">
        <v>865</v>
      </c>
      <c r="AE3" s="37"/>
    </row>
    <row r="4" spans="1:31" ht="35.1" customHeight="1" x14ac:dyDescent="0.2">
      <c r="A4" s="26" t="s">
        <v>52</v>
      </c>
      <c r="B4" s="12">
        <v>10077</v>
      </c>
      <c r="C4" s="13" t="s">
        <v>389</v>
      </c>
      <c r="D4" s="14" t="s">
        <v>62</v>
      </c>
      <c r="E4" s="11" t="s">
        <v>63</v>
      </c>
      <c r="F4" s="12" t="s">
        <v>190</v>
      </c>
      <c r="G4" s="12"/>
      <c r="H4" s="12"/>
      <c r="I4" s="12"/>
      <c r="J4" s="12" t="s">
        <v>56</v>
      </c>
      <c r="K4" s="12" t="s">
        <v>113</v>
      </c>
      <c r="L4" s="12" t="s">
        <v>48</v>
      </c>
      <c r="M4" s="12" t="s">
        <v>34</v>
      </c>
      <c r="N4" s="12" t="s">
        <v>105</v>
      </c>
      <c r="O4" s="12" t="s">
        <v>46</v>
      </c>
      <c r="P4" s="12" t="s">
        <v>37</v>
      </c>
      <c r="Q4" s="12" t="s">
        <v>37</v>
      </c>
      <c r="R4" s="11" t="s">
        <v>159</v>
      </c>
      <c r="S4" s="11" t="s">
        <v>58</v>
      </c>
      <c r="T4" s="11">
        <v>1516</v>
      </c>
      <c r="U4" s="11" t="s">
        <v>384</v>
      </c>
      <c r="V4" s="12" t="s">
        <v>95</v>
      </c>
      <c r="W4" s="12" t="s">
        <v>46</v>
      </c>
      <c r="X4" s="12" t="s">
        <v>388</v>
      </c>
      <c r="Y4" s="11" t="str">
        <f>HYPERLINK("https://www.stromypodkontrolou.cz/map/tree/d41bce85-5010-4276-b929-4760db78c679/d8e21e1b-2194-469e-ac1d-5d1d12a63274")</f>
        <v>https://www.stromypodkontrolou.cz/map/tree/d41bce85-5010-4276-b929-4760db78c679/d8e21e1b-2194-469e-ac1d-5d1d12a63274</v>
      </c>
      <c r="Z4" s="11">
        <v>-762603.65821400005</v>
      </c>
      <c r="AA4" s="11">
        <v>-984465.32323099999</v>
      </c>
      <c r="AB4" s="11" t="str">
        <f>HYPERLINK("https://www.mapy.cz?st=search&amp;fr=50.58402709 14.03167036")</f>
        <v>https://www.mapy.cz?st=search&amp;fr=50.58402709 14.03167036</v>
      </c>
      <c r="AC4" s="6">
        <f t="shared" si="0"/>
        <v>130</v>
      </c>
      <c r="AD4" s="6" t="s">
        <v>865</v>
      </c>
      <c r="AE4" s="37"/>
    </row>
    <row r="5" spans="1:31" ht="35.1" customHeight="1" x14ac:dyDescent="0.2">
      <c r="A5" s="26" t="s">
        <v>52</v>
      </c>
      <c r="B5" s="12">
        <v>10078</v>
      </c>
      <c r="C5" s="13" t="s">
        <v>390</v>
      </c>
      <c r="D5" s="14" t="s">
        <v>62</v>
      </c>
      <c r="E5" s="11" t="s">
        <v>63</v>
      </c>
      <c r="F5" s="12" t="s">
        <v>190</v>
      </c>
      <c r="G5" s="12"/>
      <c r="H5" s="12"/>
      <c r="I5" s="12"/>
      <c r="J5" s="12" t="s">
        <v>102</v>
      </c>
      <c r="K5" s="12" t="s">
        <v>113</v>
      </c>
      <c r="L5" s="12" t="s">
        <v>136</v>
      </c>
      <c r="M5" s="12" t="s">
        <v>34</v>
      </c>
      <c r="N5" s="12" t="s">
        <v>105</v>
      </c>
      <c r="O5" s="12" t="s">
        <v>46</v>
      </c>
      <c r="P5" s="12" t="s">
        <v>37</v>
      </c>
      <c r="Q5" s="12" t="s">
        <v>37</v>
      </c>
      <c r="R5" s="11" t="s">
        <v>86</v>
      </c>
      <c r="S5" s="11" t="s">
        <v>58</v>
      </c>
      <c r="T5" s="11">
        <v>1516</v>
      </c>
      <c r="U5" s="11" t="s">
        <v>384</v>
      </c>
      <c r="V5" s="12" t="s">
        <v>95</v>
      </c>
      <c r="W5" s="12" t="s">
        <v>46</v>
      </c>
      <c r="X5" s="12" t="s">
        <v>388</v>
      </c>
      <c r="Y5" s="11" t="str">
        <f>HYPERLINK("https://www.stromypodkontrolou.cz/map/tree/d41bce85-5010-4276-b929-4760db78c679/b24f76a8-ea4f-4467-b1ef-6c2846dd8dc9")</f>
        <v>https://www.stromypodkontrolou.cz/map/tree/d41bce85-5010-4276-b929-4760db78c679/b24f76a8-ea4f-4467-b1ef-6c2846dd8dc9</v>
      </c>
      <c r="Z5" s="11">
        <v>-762604.76388400001</v>
      </c>
      <c r="AA5" s="11">
        <v>-984472.38912599999</v>
      </c>
      <c r="AB5" s="11" t="str">
        <f>HYPERLINK("https://www.mapy.cz?st=search&amp;fr=50.58396280 14.03166901")</f>
        <v>https://www.mapy.cz?st=search&amp;fr=50.58396280 14.03166901</v>
      </c>
      <c r="AC5" s="6">
        <f t="shared" si="0"/>
        <v>210</v>
      </c>
      <c r="AD5" s="6" t="s">
        <v>865</v>
      </c>
      <c r="AE5" s="37"/>
    </row>
    <row r="6" spans="1:31" ht="35.1" customHeight="1" x14ac:dyDescent="0.2">
      <c r="A6" s="26" t="s">
        <v>52</v>
      </c>
      <c r="B6" s="12">
        <v>10080</v>
      </c>
      <c r="C6" s="13" t="s">
        <v>391</v>
      </c>
      <c r="D6" s="14" t="s">
        <v>62</v>
      </c>
      <c r="E6" s="11" t="s">
        <v>63</v>
      </c>
      <c r="F6" s="12" t="s">
        <v>77</v>
      </c>
      <c r="G6" s="12"/>
      <c r="H6" s="12"/>
      <c r="I6" s="12"/>
      <c r="J6" s="12" t="s">
        <v>75</v>
      </c>
      <c r="K6" s="12" t="s">
        <v>61</v>
      </c>
      <c r="L6" s="12" t="s">
        <v>47</v>
      </c>
      <c r="M6" s="12" t="s">
        <v>34</v>
      </c>
      <c r="N6" s="12" t="s">
        <v>105</v>
      </c>
      <c r="O6" s="12" t="s">
        <v>46</v>
      </c>
      <c r="P6" s="12" t="s">
        <v>37</v>
      </c>
      <c r="Q6" s="12" t="s">
        <v>37</v>
      </c>
      <c r="R6" s="11" t="s">
        <v>222</v>
      </c>
      <c r="S6" s="11" t="s">
        <v>58</v>
      </c>
      <c r="T6" s="11">
        <v>1516</v>
      </c>
      <c r="U6" s="11" t="s">
        <v>384</v>
      </c>
      <c r="V6" s="12" t="s">
        <v>95</v>
      </c>
      <c r="W6" s="12" t="s">
        <v>46</v>
      </c>
      <c r="X6" s="12" t="s">
        <v>388</v>
      </c>
      <c r="Y6" s="11" t="str">
        <f>HYPERLINK("https://www.stromypodkontrolou.cz/map/tree/d41bce85-5010-4276-b929-4760db78c679/40e9fd58-4daf-4b8f-a903-ff7ec546c854")</f>
        <v>https://www.stromypodkontrolou.cz/map/tree/d41bce85-5010-4276-b929-4760db78c679/40e9fd58-4daf-4b8f-a903-ff7ec546c854</v>
      </c>
      <c r="Z6" s="11">
        <v>-762598.12850300001</v>
      </c>
      <c r="AA6" s="11">
        <v>-984483.86222899996</v>
      </c>
      <c r="AB6" s="11" t="str">
        <f>HYPERLINK("https://www.mapy.cz?st=search&amp;fr=50.58386913 14.03178468")</f>
        <v>https://www.mapy.cz?st=search&amp;fr=50.58386913 14.03178468</v>
      </c>
      <c r="AC6" s="6">
        <f t="shared" si="0"/>
        <v>168</v>
      </c>
      <c r="AD6" s="6" t="s">
        <v>865</v>
      </c>
      <c r="AE6" s="37"/>
    </row>
    <row r="7" spans="1:31" ht="35.1" customHeight="1" x14ac:dyDescent="0.2">
      <c r="A7" s="26" t="s">
        <v>52</v>
      </c>
      <c r="B7" s="12">
        <v>10085</v>
      </c>
      <c r="C7" s="13" t="s">
        <v>392</v>
      </c>
      <c r="D7" s="14" t="s">
        <v>96</v>
      </c>
      <c r="E7" s="11" t="s">
        <v>97</v>
      </c>
      <c r="F7" s="12" t="s">
        <v>91</v>
      </c>
      <c r="G7" s="12"/>
      <c r="H7" s="12"/>
      <c r="I7" s="12"/>
      <c r="J7" s="12" t="s">
        <v>60</v>
      </c>
      <c r="K7" s="12" t="s">
        <v>43</v>
      </c>
      <c r="L7" s="12" t="s">
        <v>33</v>
      </c>
      <c r="M7" s="12" t="s">
        <v>37</v>
      </c>
      <c r="N7" s="12" t="s">
        <v>105</v>
      </c>
      <c r="O7" s="12" t="s">
        <v>46</v>
      </c>
      <c r="P7" s="12" t="s">
        <v>46</v>
      </c>
      <c r="Q7" s="12" t="s">
        <v>46</v>
      </c>
      <c r="R7" s="11"/>
      <c r="S7" s="11" t="s">
        <v>58</v>
      </c>
      <c r="T7" s="11">
        <v>1516</v>
      </c>
      <c r="U7" s="11" t="s">
        <v>378</v>
      </c>
      <c r="V7" s="12" t="s">
        <v>95</v>
      </c>
      <c r="W7" s="12" t="s">
        <v>46</v>
      </c>
      <c r="X7" s="12"/>
      <c r="Y7" s="11" t="str">
        <f>HYPERLINK("https://www.stromypodkontrolou.cz/map/tree/d41bce85-5010-4276-b929-4760db78c679/3bd279f1-12ff-48b8-86d6-dc54b46e2d30")</f>
        <v>https://www.stromypodkontrolou.cz/map/tree/d41bce85-5010-4276-b929-4760db78c679/3bd279f1-12ff-48b8-86d6-dc54b46e2d30</v>
      </c>
      <c r="Z7" s="11">
        <v>-762590.295254</v>
      </c>
      <c r="AA7" s="11">
        <v>-984522.36906199995</v>
      </c>
      <c r="AB7" s="11" t="str">
        <f>HYPERLINK("https://www.mapy.cz?st=search&amp;fr=50.58353639 14.03197110")</f>
        <v>https://www.mapy.cz?st=search&amp;fr=50.58353639 14.03197110</v>
      </c>
      <c r="AC7" s="6">
        <f t="shared" si="0"/>
        <v>80</v>
      </c>
      <c r="AD7" s="6" t="s">
        <v>866</v>
      </c>
      <c r="AE7" s="37"/>
    </row>
    <row r="8" spans="1:31" ht="35.1" customHeight="1" x14ac:dyDescent="0.2">
      <c r="A8" s="26" t="s">
        <v>52</v>
      </c>
      <c r="B8" s="12">
        <v>10091</v>
      </c>
      <c r="C8" s="13" t="s">
        <v>393</v>
      </c>
      <c r="D8" s="14" t="s">
        <v>62</v>
      </c>
      <c r="E8" s="11" t="s">
        <v>63</v>
      </c>
      <c r="F8" s="12" t="s">
        <v>92</v>
      </c>
      <c r="G8" s="12" t="s">
        <v>131</v>
      </c>
      <c r="H8" s="12" t="s">
        <v>78</v>
      </c>
      <c r="I8" s="12"/>
      <c r="J8" s="12" t="s">
        <v>66</v>
      </c>
      <c r="K8" s="12" t="s">
        <v>61</v>
      </c>
      <c r="L8" s="12" t="s">
        <v>136</v>
      </c>
      <c r="M8" s="12" t="s">
        <v>34</v>
      </c>
      <c r="N8" s="12" t="s">
        <v>45</v>
      </c>
      <c r="O8" s="12" t="s">
        <v>36</v>
      </c>
      <c r="P8" s="12" t="s">
        <v>37</v>
      </c>
      <c r="Q8" s="12" t="s">
        <v>37</v>
      </c>
      <c r="R8" s="11" t="s">
        <v>86</v>
      </c>
      <c r="S8" s="11" t="s">
        <v>58</v>
      </c>
      <c r="T8" s="11">
        <v>1516</v>
      </c>
      <c r="U8" s="11" t="s">
        <v>384</v>
      </c>
      <c r="V8" s="12" t="s">
        <v>95</v>
      </c>
      <c r="W8" s="12" t="s">
        <v>46</v>
      </c>
      <c r="X8" s="12" t="s">
        <v>388</v>
      </c>
      <c r="Y8" s="11" t="str">
        <f>HYPERLINK("https://www.stromypodkontrolou.cz/map/tree/d41bce85-5010-4276-b929-4760db78c679/1b7f0fdf-f8b4-42e4-b2d6-6597261691c3")</f>
        <v>https://www.stromypodkontrolou.cz/map/tree/d41bce85-5010-4276-b929-4760db78c679/1b7f0fdf-f8b4-42e4-b2d6-6597261691c3</v>
      </c>
      <c r="Z8" s="11">
        <v>-762564.515549</v>
      </c>
      <c r="AA8" s="11">
        <v>-984548.25102500001</v>
      </c>
      <c r="AB8" s="11" t="str">
        <f>HYPERLINK("https://www.mapy.cz?st=search&amp;fr=50.58333884 14.03238315")</f>
        <v>https://www.mapy.cz?st=search&amp;fr=50.58333884 14.03238315</v>
      </c>
      <c r="AC8" s="6">
        <f t="shared" si="0"/>
        <v>182</v>
      </c>
      <c r="AD8" s="6" t="s">
        <v>865</v>
      </c>
      <c r="AE8" s="37"/>
    </row>
    <row r="9" spans="1:31" ht="35.1" customHeight="1" x14ac:dyDescent="0.2">
      <c r="A9" s="26" t="s">
        <v>52</v>
      </c>
      <c r="B9" s="12">
        <v>10094</v>
      </c>
      <c r="C9" s="13" t="s">
        <v>394</v>
      </c>
      <c r="D9" s="14" t="s">
        <v>62</v>
      </c>
      <c r="E9" s="11" t="s">
        <v>63</v>
      </c>
      <c r="F9" s="12" t="s">
        <v>123</v>
      </c>
      <c r="G9" s="12" t="s">
        <v>82</v>
      </c>
      <c r="H9" s="12" t="s">
        <v>100</v>
      </c>
      <c r="I9" s="12" t="s">
        <v>70</v>
      </c>
      <c r="J9" s="12" t="s">
        <v>66</v>
      </c>
      <c r="K9" s="12" t="s">
        <v>61</v>
      </c>
      <c r="L9" s="12" t="s">
        <v>104</v>
      </c>
      <c r="M9" s="12" t="s">
        <v>34</v>
      </c>
      <c r="N9" s="12" t="s">
        <v>45</v>
      </c>
      <c r="O9" s="12" t="s">
        <v>37</v>
      </c>
      <c r="P9" s="12" t="s">
        <v>36</v>
      </c>
      <c r="Q9" s="12" t="s">
        <v>37</v>
      </c>
      <c r="R9" s="11" t="s">
        <v>395</v>
      </c>
      <c r="S9" s="11" t="s">
        <v>58</v>
      </c>
      <c r="T9" s="11">
        <v>1516</v>
      </c>
      <c r="U9" s="11" t="s">
        <v>384</v>
      </c>
      <c r="V9" s="12" t="s">
        <v>95</v>
      </c>
      <c r="W9" s="12" t="s">
        <v>46</v>
      </c>
      <c r="X9" s="12" t="s">
        <v>388</v>
      </c>
      <c r="Y9" s="11" t="str">
        <f>HYPERLINK("https://www.stromypodkontrolou.cz/map/tree/d41bce85-5010-4276-b929-4760db78c679/ddaa9a20-d1b2-4615-82d3-a2bd8d46a08b")</f>
        <v>https://www.stromypodkontrolou.cz/map/tree/d41bce85-5010-4276-b929-4760db78c679/ddaa9a20-d1b2-4615-82d3-a2bd8d46a08b</v>
      </c>
      <c r="Z9" s="11">
        <v>-762554.21323899995</v>
      </c>
      <c r="AA9" s="11">
        <v>-984569.481485</v>
      </c>
      <c r="AB9" s="11" t="str">
        <f>HYPERLINK("https://www.mapy.cz?st=search&amp;fr=50.58316299 14.03256957")</f>
        <v>https://www.mapy.cz?st=search&amp;fr=50.58316299 14.03256957</v>
      </c>
      <c r="AC9" s="6">
        <f>(J9-K9)*L9</f>
        <v>143</v>
      </c>
      <c r="AD9" s="6" t="s">
        <v>865</v>
      </c>
      <c r="AE9" s="37"/>
    </row>
    <row r="10" spans="1:31" ht="35.1" customHeight="1" x14ac:dyDescent="0.2">
      <c r="A10" s="26" t="s">
        <v>52</v>
      </c>
      <c r="B10" s="12">
        <v>10113</v>
      </c>
      <c r="C10" s="13" t="s">
        <v>397</v>
      </c>
      <c r="D10" s="14" t="s">
        <v>62</v>
      </c>
      <c r="E10" s="11" t="s">
        <v>63</v>
      </c>
      <c r="F10" s="12" t="s">
        <v>206</v>
      </c>
      <c r="G10" s="12" t="s">
        <v>77</v>
      </c>
      <c r="H10" s="12" t="s">
        <v>204</v>
      </c>
      <c r="I10" s="12"/>
      <c r="J10" s="12" t="s">
        <v>66</v>
      </c>
      <c r="K10" s="12" t="s">
        <v>61</v>
      </c>
      <c r="L10" s="12" t="s">
        <v>104</v>
      </c>
      <c r="M10" s="12" t="s">
        <v>95</v>
      </c>
      <c r="N10" s="12" t="s">
        <v>105</v>
      </c>
      <c r="O10" s="12" t="s">
        <v>36</v>
      </c>
      <c r="P10" s="12" t="s">
        <v>37</v>
      </c>
      <c r="Q10" s="12" t="s">
        <v>37</v>
      </c>
      <c r="R10" s="11" t="s">
        <v>398</v>
      </c>
      <c r="S10" s="11" t="s">
        <v>58</v>
      </c>
      <c r="T10" s="11">
        <v>1516</v>
      </c>
      <c r="U10" s="11" t="s">
        <v>384</v>
      </c>
      <c r="V10" s="12" t="s">
        <v>95</v>
      </c>
      <c r="W10" s="12" t="s">
        <v>46</v>
      </c>
      <c r="X10" s="12" t="s">
        <v>388</v>
      </c>
      <c r="Y10" s="11" t="str">
        <f>HYPERLINK("https://www.stromypodkontrolou.cz/map/tree/d41bce85-5010-4276-b929-4760db78c679/b45f056c-7bc6-4a9b-9fb0-7ada647d3247")</f>
        <v>https://www.stromypodkontrolou.cz/map/tree/d41bce85-5010-4276-b929-4760db78c679/b45f056c-7bc6-4a9b-9fb0-7ada647d3247</v>
      </c>
      <c r="Z10" s="11">
        <v>-762497.56837800005</v>
      </c>
      <c r="AA10" s="11">
        <v>-984678.831672</v>
      </c>
      <c r="AB10" s="11" t="str">
        <f>HYPERLINK("https://www.mapy.cz?st=search&amp;fr=50.58226184 14.03357975")</f>
        <v>https://www.mapy.cz?st=search&amp;fr=50.58226184 14.03357975</v>
      </c>
      <c r="AC10" s="6">
        <f t="shared" ref="AC10:AC12" si="1">(J10-K10)*L10</f>
        <v>143</v>
      </c>
      <c r="AD10" s="6" t="s">
        <v>865</v>
      </c>
      <c r="AE10" s="37"/>
    </row>
    <row r="11" spans="1:31" ht="35.1" customHeight="1" x14ac:dyDescent="0.2">
      <c r="A11" s="26" t="s">
        <v>52</v>
      </c>
      <c r="B11" s="12">
        <v>10114</v>
      </c>
      <c r="C11" s="13" t="s">
        <v>399</v>
      </c>
      <c r="D11" s="14" t="s">
        <v>62</v>
      </c>
      <c r="E11" s="11" t="s">
        <v>63</v>
      </c>
      <c r="F11" s="12" t="s">
        <v>238</v>
      </c>
      <c r="G11" s="12" t="s">
        <v>167</v>
      </c>
      <c r="H11" s="12" t="s">
        <v>219</v>
      </c>
      <c r="I11" s="12" t="s">
        <v>203</v>
      </c>
      <c r="J11" s="12" t="s">
        <v>72</v>
      </c>
      <c r="K11" s="12" t="s">
        <v>61</v>
      </c>
      <c r="L11" s="12" t="s">
        <v>104</v>
      </c>
      <c r="M11" s="12" t="s">
        <v>34</v>
      </c>
      <c r="N11" s="12" t="s">
        <v>45</v>
      </c>
      <c r="O11" s="12" t="s">
        <v>36</v>
      </c>
      <c r="P11" s="12" t="s">
        <v>37</v>
      </c>
      <c r="Q11" s="12" t="s">
        <v>37</v>
      </c>
      <c r="R11" s="11" t="s">
        <v>400</v>
      </c>
      <c r="S11" s="11" t="s">
        <v>58</v>
      </c>
      <c r="T11" s="11">
        <v>1516</v>
      </c>
      <c r="U11" s="11" t="s">
        <v>384</v>
      </c>
      <c r="V11" s="12" t="s">
        <v>95</v>
      </c>
      <c r="W11" s="12" t="s">
        <v>46</v>
      </c>
      <c r="X11" s="12" t="s">
        <v>388</v>
      </c>
      <c r="Y11" s="11" t="str">
        <f>HYPERLINK("https://www.stromypodkontrolou.cz/map/tree/d41bce85-5010-4276-b929-4760db78c679/ff0d0356-e17b-43be-9bd7-3f558529ca84")</f>
        <v>https://www.stromypodkontrolou.cz/map/tree/d41bce85-5010-4276-b929-4760db78c679/ff0d0356-e17b-43be-9bd7-3f558529ca84</v>
      </c>
      <c r="Z11" s="11">
        <v>-762490.94348699995</v>
      </c>
      <c r="AA11" s="11">
        <v>-984687.69605000003</v>
      </c>
      <c r="AB11" s="11" t="str">
        <f>HYPERLINK("https://www.mapy.cz?st=search&amp;fr=50.58219137 14.03369006")</f>
        <v>https://www.mapy.cz?st=search&amp;fr=50.58219137 14.03369006</v>
      </c>
      <c r="AC11" s="6">
        <f t="shared" si="1"/>
        <v>165</v>
      </c>
      <c r="AD11" s="6" t="s">
        <v>865</v>
      </c>
      <c r="AE11" s="37"/>
    </row>
    <row r="12" spans="1:31" ht="35.1" customHeight="1" x14ac:dyDescent="0.2">
      <c r="A12" s="26" t="s">
        <v>52</v>
      </c>
      <c r="B12" s="12">
        <v>10118</v>
      </c>
      <c r="C12" s="13" t="s">
        <v>401</v>
      </c>
      <c r="D12" s="14" t="s">
        <v>173</v>
      </c>
      <c r="E12" s="11" t="s">
        <v>174</v>
      </c>
      <c r="F12" s="12" t="s">
        <v>136</v>
      </c>
      <c r="G12" s="12"/>
      <c r="H12" s="12"/>
      <c r="I12" s="12"/>
      <c r="J12" s="12" t="s">
        <v>144</v>
      </c>
      <c r="K12" s="12" t="s">
        <v>61</v>
      </c>
      <c r="L12" s="12" t="s">
        <v>44</v>
      </c>
      <c r="M12" s="12" t="s">
        <v>36</v>
      </c>
      <c r="N12" s="12" t="s">
        <v>105</v>
      </c>
      <c r="O12" s="12" t="s">
        <v>46</v>
      </c>
      <c r="P12" s="12" t="s">
        <v>46</v>
      </c>
      <c r="Q12" s="12" t="s">
        <v>36</v>
      </c>
      <c r="R12" s="11"/>
      <c r="S12" s="11" t="s">
        <v>58</v>
      </c>
      <c r="T12" s="11">
        <v>1516</v>
      </c>
      <c r="U12" s="11" t="s">
        <v>377</v>
      </c>
      <c r="V12" s="12" t="s">
        <v>37</v>
      </c>
      <c r="W12" s="12" t="s">
        <v>46</v>
      </c>
      <c r="X12" s="12"/>
      <c r="Y12" s="11" t="str">
        <f>HYPERLINK("https://www.stromypodkontrolou.cz/map/tree/d41bce85-5010-4276-b929-4760db78c679/73f2410d-388e-4e2c-89a1-2ef219d0473c")</f>
        <v>https://www.stromypodkontrolou.cz/map/tree/d41bce85-5010-4276-b929-4760db78c679/73f2410d-388e-4e2c-89a1-2ef219d0473c</v>
      </c>
      <c r="Z12" s="11">
        <v>-762484.01247299998</v>
      </c>
      <c r="AA12" s="11">
        <v>-984716.41081699997</v>
      </c>
      <c r="AB12" s="11" t="str">
        <f>HYPERLINK("https://www.mapy.cz?st=search&amp;fr=50.58194463 14.03384429")</f>
        <v>https://www.mapy.cz?st=search&amp;fr=50.58194463 14.03384429</v>
      </c>
      <c r="AC12" s="6">
        <f t="shared" si="1"/>
        <v>30</v>
      </c>
      <c r="AD12" s="6" t="s">
        <v>867</v>
      </c>
      <c r="AE12" s="37"/>
    </row>
    <row r="13" spans="1:31" ht="35.1" customHeight="1" x14ac:dyDescent="0.2">
      <c r="A13" s="26" t="s">
        <v>52</v>
      </c>
      <c r="B13" s="12">
        <v>10120</v>
      </c>
      <c r="C13" s="13" t="s">
        <v>402</v>
      </c>
      <c r="D13" s="14" t="s">
        <v>62</v>
      </c>
      <c r="E13" s="11" t="s">
        <v>63</v>
      </c>
      <c r="F13" s="12" t="s">
        <v>238</v>
      </c>
      <c r="G13" s="12" t="s">
        <v>193</v>
      </c>
      <c r="H13" s="12" t="s">
        <v>219</v>
      </c>
      <c r="I13" s="12" t="s">
        <v>54</v>
      </c>
      <c r="J13" s="12" t="s">
        <v>102</v>
      </c>
      <c r="K13" s="12" t="s">
        <v>103</v>
      </c>
      <c r="L13" s="12" t="s">
        <v>118</v>
      </c>
      <c r="M13" s="12" t="s">
        <v>34</v>
      </c>
      <c r="N13" s="12" t="s">
        <v>105</v>
      </c>
      <c r="O13" s="12" t="s">
        <v>46</v>
      </c>
      <c r="P13" s="12" t="s">
        <v>37</v>
      </c>
      <c r="Q13" s="12" t="s">
        <v>37</v>
      </c>
      <c r="R13" s="11" t="s">
        <v>222</v>
      </c>
      <c r="S13" s="11" t="s">
        <v>58</v>
      </c>
      <c r="T13" s="11">
        <v>1516</v>
      </c>
      <c r="U13" s="11" t="s">
        <v>384</v>
      </c>
      <c r="V13" s="12" t="s">
        <v>95</v>
      </c>
      <c r="W13" s="12" t="s">
        <v>46</v>
      </c>
      <c r="X13" s="12" t="s">
        <v>403</v>
      </c>
      <c r="Y13" s="11" t="str">
        <f>HYPERLINK("https://www.stromypodkontrolou.cz/map/tree/d41bce85-5010-4276-b929-4760db78c679/1b39a223-99e4-4f12-8613-8cb224aba149")</f>
        <v>https://www.stromypodkontrolou.cz/map/tree/d41bce85-5010-4276-b929-4760db78c679/1b39a223-99e4-4f12-8613-8cb224aba149</v>
      </c>
      <c r="Z13" s="11">
        <v>-762494.66026999999</v>
      </c>
      <c r="AA13" s="11">
        <v>-984697.92947900004</v>
      </c>
      <c r="AB13" s="11" t="str">
        <f>HYPERLINK("https://www.mapy.cz?st=search&amp;fr=50.58209557 14.03365854")</f>
        <v>https://www.mapy.cz?st=search&amp;fr=50.58209557 14.03365854</v>
      </c>
      <c r="AC13" s="6">
        <f t="shared" ref="AC13:AC14" si="2">(J13-K13)*L13</f>
        <v>255</v>
      </c>
      <c r="AD13" s="6" t="s">
        <v>879</v>
      </c>
      <c r="AE13" s="37"/>
    </row>
    <row r="14" spans="1:31" ht="35.1" customHeight="1" x14ac:dyDescent="0.2">
      <c r="A14" s="26" t="s">
        <v>52</v>
      </c>
      <c r="B14" s="12">
        <v>10125</v>
      </c>
      <c r="C14" s="13" t="s">
        <v>404</v>
      </c>
      <c r="D14" s="14" t="s">
        <v>62</v>
      </c>
      <c r="E14" s="11" t="s">
        <v>63</v>
      </c>
      <c r="F14" s="12" t="s">
        <v>208</v>
      </c>
      <c r="G14" s="12"/>
      <c r="H14" s="12"/>
      <c r="I14" s="12"/>
      <c r="J14" s="12" t="s">
        <v>102</v>
      </c>
      <c r="K14" s="12" t="s">
        <v>103</v>
      </c>
      <c r="L14" s="12" t="s">
        <v>104</v>
      </c>
      <c r="M14" s="12" t="s">
        <v>34</v>
      </c>
      <c r="N14" s="12" t="s">
        <v>105</v>
      </c>
      <c r="O14" s="12" t="s">
        <v>46</v>
      </c>
      <c r="P14" s="12" t="s">
        <v>34</v>
      </c>
      <c r="Q14" s="12" t="s">
        <v>34</v>
      </c>
      <c r="R14" s="11" t="s">
        <v>405</v>
      </c>
      <c r="S14" s="11" t="s">
        <v>58</v>
      </c>
      <c r="T14" s="11">
        <v>1516</v>
      </c>
      <c r="U14" s="11" t="s">
        <v>384</v>
      </c>
      <c r="V14" s="12" t="s">
        <v>95</v>
      </c>
      <c r="W14" s="12" t="s">
        <v>46</v>
      </c>
      <c r="X14" s="12" t="s">
        <v>406</v>
      </c>
      <c r="Y14" s="11" t="str">
        <f>HYPERLINK("https://www.stromypodkontrolou.cz/map/tree/d41bce85-5010-4276-b929-4760db78c679/1007aef9-d405-4139-9b29-e0021d46e171")</f>
        <v>https://www.stromypodkontrolou.cz/map/tree/d41bce85-5010-4276-b929-4760db78c679/1007aef9-d405-4139-9b29-e0021d46e171</v>
      </c>
      <c r="Z14" s="11">
        <v>-762481.93631300004</v>
      </c>
      <c r="AA14" s="11">
        <v>-984774.07058299996</v>
      </c>
      <c r="AB14" s="11" t="str">
        <f>HYPERLINK("https://www.mapy.cz?st=search&amp;fr=50.58143411 14.03398845")</f>
        <v>https://www.mapy.cz?st=search&amp;fr=50.58143411 14.03398845</v>
      </c>
      <c r="AC14" s="6">
        <f t="shared" si="2"/>
        <v>187</v>
      </c>
      <c r="AD14" s="6" t="s">
        <v>865</v>
      </c>
      <c r="AE14" s="37"/>
    </row>
    <row r="15" spans="1:31" ht="36" customHeight="1" x14ac:dyDescent="0.2">
      <c r="A15" s="26" t="s">
        <v>52</v>
      </c>
      <c r="B15" s="12">
        <v>10130</v>
      </c>
      <c r="C15" s="13" t="s">
        <v>408</v>
      </c>
      <c r="D15" s="14" t="s">
        <v>62</v>
      </c>
      <c r="E15" s="11" t="s">
        <v>63</v>
      </c>
      <c r="F15" s="12" t="s">
        <v>162</v>
      </c>
      <c r="G15" s="12" t="s">
        <v>204</v>
      </c>
      <c r="H15" s="12" t="s">
        <v>238</v>
      </c>
      <c r="I15" s="12"/>
      <c r="J15" s="12" t="s">
        <v>72</v>
      </c>
      <c r="K15" s="12" t="s">
        <v>61</v>
      </c>
      <c r="L15" s="12" t="s">
        <v>94</v>
      </c>
      <c r="M15" s="12" t="s">
        <v>95</v>
      </c>
      <c r="N15" s="12" t="s">
        <v>45</v>
      </c>
      <c r="O15" s="12" t="s">
        <v>36</v>
      </c>
      <c r="P15" s="12" t="s">
        <v>34</v>
      </c>
      <c r="Q15" s="12" t="s">
        <v>34</v>
      </c>
      <c r="R15" s="11"/>
      <c r="S15" s="11" t="s">
        <v>58</v>
      </c>
      <c r="T15" s="11" t="s">
        <v>121</v>
      </c>
      <c r="U15" s="11" t="s">
        <v>384</v>
      </c>
      <c r="V15" s="12" t="s">
        <v>95</v>
      </c>
      <c r="W15" s="12" t="s">
        <v>46</v>
      </c>
      <c r="X15" s="12" t="s">
        <v>409</v>
      </c>
      <c r="Y15" s="11" t="str">
        <f>HYPERLINK("https://www.stromypodkontrolou.cz/map/tree/d41bce85-5010-4276-b929-4760db78c679/6d5489f9-696c-426a-a53b-e42827222083")</f>
        <v>https://www.stromypodkontrolou.cz/map/tree/d41bce85-5010-4276-b929-4760db78c679/6d5489f9-696c-426a-a53b-e42827222083</v>
      </c>
      <c r="Z15" s="11">
        <v>-762462.92925100005</v>
      </c>
      <c r="AA15" s="11">
        <v>-984885.82072199997</v>
      </c>
      <c r="AB15" s="11" t="str">
        <f>HYPERLINK("https://www.mapy.cz?st=search&amp;fr=50.58046373 14.03447729")</f>
        <v>https://www.mapy.cz?st=search&amp;fr=50.58046373 14.03447729</v>
      </c>
      <c r="AC15" s="6">
        <f>(J15-K15)*L15</f>
        <v>195</v>
      </c>
      <c r="AD15" s="6" t="s">
        <v>865</v>
      </c>
      <c r="AE15" s="37"/>
    </row>
    <row r="16" spans="1:31" ht="35.1" customHeight="1" x14ac:dyDescent="0.2">
      <c r="A16" s="26" t="s">
        <v>52</v>
      </c>
      <c r="B16" s="12">
        <v>10146</v>
      </c>
      <c r="C16" s="13" t="s">
        <v>410</v>
      </c>
      <c r="D16" s="14" t="s">
        <v>62</v>
      </c>
      <c r="E16" s="11" t="s">
        <v>63</v>
      </c>
      <c r="F16" s="12" t="s">
        <v>227</v>
      </c>
      <c r="G16" s="12"/>
      <c r="H16" s="12"/>
      <c r="I16" s="12"/>
      <c r="J16" s="12" t="s">
        <v>56</v>
      </c>
      <c r="K16" s="12" t="s">
        <v>61</v>
      </c>
      <c r="L16" s="12" t="s">
        <v>48</v>
      </c>
      <c r="M16" s="12" t="s">
        <v>34</v>
      </c>
      <c r="N16" s="12" t="s">
        <v>45</v>
      </c>
      <c r="O16" s="12" t="s">
        <v>36</v>
      </c>
      <c r="P16" s="12" t="s">
        <v>37</v>
      </c>
      <c r="Q16" s="12" t="s">
        <v>34</v>
      </c>
      <c r="R16" s="11" t="s">
        <v>411</v>
      </c>
      <c r="S16" s="11" t="s">
        <v>58</v>
      </c>
      <c r="T16" s="11" t="s">
        <v>126</v>
      </c>
      <c r="U16" s="11" t="s">
        <v>384</v>
      </c>
      <c r="V16" s="12" t="s">
        <v>95</v>
      </c>
      <c r="W16" s="12" t="s">
        <v>46</v>
      </c>
      <c r="X16" s="12" t="s">
        <v>406</v>
      </c>
      <c r="Y16" s="11" t="str">
        <f>HYPERLINK("https://www.stromypodkontrolou.cz/map/tree/d41bce85-5010-4276-b929-4760db78c679/9acca7ce-3bb8-45fd-a4b5-64946d441d12")</f>
        <v>https://www.stromypodkontrolou.cz/map/tree/d41bce85-5010-4276-b929-4760db78c679/9acca7ce-3bb8-45fd-a4b5-64946d441d12</v>
      </c>
      <c r="Z16" s="11">
        <v>-762422.72741199995</v>
      </c>
      <c r="AA16" s="11">
        <v>-985078.75528899999</v>
      </c>
      <c r="AB16" s="11" t="str">
        <f>HYPERLINK("https://www.mapy.cz?st=search&amp;fr=50.57879777 14.03542444")</f>
        <v>https://www.mapy.cz?st=search&amp;fr=50.57879777 14.03542444</v>
      </c>
      <c r="AC16" s="6">
        <f>(J16-K16)*L16</f>
        <v>160</v>
      </c>
      <c r="AD16" s="6" t="s">
        <v>865</v>
      </c>
      <c r="AE16" s="37"/>
    </row>
    <row r="17" spans="1:31" ht="35.1" customHeight="1" x14ac:dyDescent="0.2">
      <c r="A17" s="26" t="s">
        <v>52</v>
      </c>
      <c r="B17" s="12">
        <v>10153</v>
      </c>
      <c r="C17" s="13" t="s">
        <v>412</v>
      </c>
      <c r="D17" s="14" t="s">
        <v>264</v>
      </c>
      <c r="E17" s="11" t="s">
        <v>265</v>
      </c>
      <c r="F17" s="12" t="s">
        <v>71</v>
      </c>
      <c r="G17" s="12"/>
      <c r="H17" s="12"/>
      <c r="I17" s="12"/>
      <c r="J17" s="12" t="s">
        <v>79</v>
      </c>
      <c r="K17" s="12" t="s">
        <v>43</v>
      </c>
      <c r="L17" s="12" t="s">
        <v>33</v>
      </c>
      <c r="M17" s="12" t="s">
        <v>37</v>
      </c>
      <c r="N17" s="12" t="s">
        <v>105</v>
      </c>
      <c r="O17" s="12" t="s">
        <v>46</v>
      </c>
      <c r="P17" s="12" t="s">
        <v>46</v>
      </c>
      <c r="Q17" s="12" t="s">
        <v>36</v>
      </c>
      <c r="R17" s="11" t="s">
        <v>114</v>
      </c>
      <c r="S17" s="11" t="s">
        <v>58</v>
      </c>
      <c r="T17" s="11" t="s">
        <v>127</v>
      </c>
      <c r="U17" s="11" t="s">
        <v>378</v>
      </c>
      <c r="V17" s="12" t="s">
        <v>95</v>
      </c>
      <c r="W17" s="12" t="s">
        <v>46</v>
      </c>
      <c r="X17" s="12" t="s">
        <v>379</v>
      </c>
      <c r="Y17" s="11" t="str">
        <f>HYPERLINK("https://www.stromypodkontrolou.cz/map/tree/d41bce85-5010-4276-b929-4760db78c679/ef255c22-7f96-48a1-8bef-8911daaef0c5")</f>
        <v>https://www.stromypodkontrolou.cz/map/tree/d41bce85-5010-4276-b929-4760db78c679/ef255c22-7f96-48a1-8bef-8911daaef0c5</v>
      </c>
      <c r="Z17" s="11">
        <v>-762400.86906399997</v>
      </c>
      <c r="AA17" s="11">
        <v>-985105.92000299995</v>
      </c>
      <c r="AB17" s="11" t="str">
        <f>HYPERLINK("https://www.mapy.cz?st=search&amp;fr=50.57858380 14.03578419")</f>
        <v>https://www.mapy.cz?st=search&amp;fr=50.57858380 14.03578419</v>
      </c>
      <c r="AC17" s="6">
        <f t="shared" ref="AC17:AC22" si="3">(J17-K17)*L17</f>
        <v>88</v>
      </c>
      <c r="AD17" s="6" t="s">
        <v>866</v>
      </c>
      <c r="AE17" s="37"/>
    </row>
    <row r="18" spans="1:31" ht="35.1" customHeight="1" x14ac:dyDescent="0.2">
      <c r="A18" s="26" t="s">
        <v>52</v>
      </c>
      <c r="B18" s="12">
        <v>10159</v>
      </c>
      <c r="C18" s="13" t="s">
        <v>413</v>
      </c>
      <c r="D18" s="14" t="s">
        <v>62</v>
      </c>
      <c r="E18" s="11" t="s">
        <v>63</v>
      </c>
      <c r="F18" s="12" t="s">
        <v>235</v>
      </c>
      <c r="G18" s="12"/>
      <c r="H18" s="12"/>
      <c r="I18" s="12"/>
      <c r="J18" s="12" t="s">
        <v>102</v>
      </c>
      <c r="K18" s="12" t="s">
        <v>61</v>
      </c>
      <c r="L18" s="12" t="s">
        <v>136</v>
      </c>
      <c r="M18" s="12" t="s">
        <v>34</v>
      </c>
      <c r="N18" s="12" t="s">
        <v>105</v>
      </c>
      <c r="O18" s="12" t="s">
        <v>46</v>
      </c>
      <c r="P18" s="12" t="s">
        <v>37</v>
      </c>
      <c r="Q18" s="12" t="s">
        <v>37</v>
      </c>
      <c r="R18" s="11" t="s">
        <v>214</v>
      </c>
      <c r="S18" s="11" t="s">
        <v>58</v>
      </c>
      <c r="T18" s="11" t="s">
        <v>127</v>
      </c>
      <c r="U18" s="11" t="s">
        <v>384</v>
      </c>
      <c r="V18" s="12" t="s">
        <v>95</v>
      </c>
      <c r="W18" s="12" t="s">
        <v>46</v>
      </c>
      <c r="X18" s="12" t="s">
        <v>388</v>
      </c>
      <c r="Y18" s="11" t="str">
        <f>HYPERLINK("https://www.stromypodkontrolou.cz/map/tree/d41bce85-5010-4276-b929-4760db78c679/ef805484-d986-465b-b8aa-e66f6e7e20c2")</f>
        <v>https://www.stromypodkontrolou.cz/map/tree/d41bce85-5010-4276-b929-4760db78c679/ef805484-d986-465b-b8aa-e66f6e7e20c2</v>
      </c>
      <c r="Z18" s="11">
        <v>-762347.63656599994</v>
      </c>
      <c r="AA18" s="11">
        <v>-985247.13358499995</v>
      </c>
      <c r="AB18" s="11" t="str">
        <f>HYPERLINK("https://www.mapy.cz?st=search&amp;fr=50.57739470 14.03681014")</f>
        <v>https://www.mapy.cz?st=search&amp;fr=50.57739470 14.03681014</v>
      </c>
      <c r="AC18" s="6">
        <f t="shared" si="3"/>
        <v>252</v>
      </c>
      <c r="AD18" s="6" t="s">
        <v>879</v>
      </c>
      <c r="AE18" s="37"/>
    </row>
    <row r="19" spans="1:31" ht="35.1" customHeight="1" x14ac:dyDescent="0.2">
      <c r="A19" s="26" t="s">
        <v>52</v>
      </c>
      <c r="B19" s="12">
        <v>10160</v>
      </c>
      <c r="C19" s="13" t="s">
        <v>414</v>
      </c>
      <c r="D19" s="14" t="s">
        <v>62</v>
      </c>
      <c r="E19" s="11" t="s">
        <v>63</v>
      </c>
      <c r="F19" s="12" t="s">
        <v>124</v>
      </c>
      <c r="G19" s="12" t="s">
        <v>82</v>
      </c>
      <c r="H19" s="12" t="s">
        <v>55</v>
      </c>
      <c r="I19" s="12" t="s">
        <v>93</v>
      </c>
      <c r="J19" s="12" t="s">
        <v>75</v>
      </c>
      <c r="K19" s="12" t="s">
        <v>61</v>
      </c>
      <c r="L19" s="12" t="s">
        <v>118</v>
      </c>
      <c r="M19" s="12" t="s">
        <v>34</v>
      </c>
      <c r="N19" s="12" t="s">
        <v>105</v>
      </c>
      <c r="O19" s="12" t="s">
        <v>46</v>
      </c>
      <c r="P19" s="12" t="s">
        <v>37</v>
      </c>
      <c r="Q19" s="12" t="s">
        <v>37</v>
      </c>
      <c r="R19" s="11"/>
      <c r="S19" s="11" t="s">
        <v>58</v>
      </c>
      <c r="T19" s="11" t="s">
        <v>127</v>
      </c>
      <c r="U19" s="11" t="s">
        <v>384</v>
      </c>
      <c r="V19" s="12" t="s">
        <v>95</v>
      </c>
      <c r="W19" s="12" t="s">
        <v>46</v>
      </c>
      <c r="X19" s="12" t="s">
        <v>415</v>
      </c>
      <c r="Y19" s="11" t="str">
        <f>HYPERLINK("https://www.stromypodkontrolou.cz/map/tree/d41bce85-5010-4276-b929-4760db78c679/132214ff-2de2-4c72-8089-92864925e3e3")</f>
        <v>https://www.stromypodkontrolou.cz/map/tree/d41bce85-5010-4276-b929-4760db78c679/132214ff-2de2-4c72-8089-92864925e3e3</v>
      </c>
      <c r="Z19" s="11">
        <v>-762345.23958299996</v>
      </c>
      <c r="AA19" s="11">
        <v>-985253.52853999997</v>
      </c>
      <c r="AB19" s="11" t="str">
        <f>HYPERLINK("https://www.mapy.cz?st=search&amp;fr=50.57734084 14.03685641")</f>
        <v>https://www.mapy.cz?st=search&amp;fr=50.57734084 14.03685641</v>
      </c>
      <c r="AC19" s="6">
        <f t="shared" si="3"/>
        <v>210</v>
      </c>
      <c r="AD19" s="6" t="s">
        <v>865</v>
      </c>
      <c r="AE19" s="37"/>
    </row>
    <row r="20" spans="1:31" ht="35.1" customHeight="1" x14ac:dyDescent="0.2">
      <c r="A20" s="26" t="s">
        <v>52</v>
      </c>
      <c r="B20" s="12">
        <v>10168</v>
      </c>
      <c r="C20" s="13" t="s">
        <v>416</v>
      </c>
      <c r="D20" s="14" t="s">
        <v>62</v>
      </c>
      <c r="E20" s="11" t="s">
        <v>63</v>
      </c>
      <c r="F20" s="12" t="s">
        <v>116</v>
      </c>
      <c r="G20" s="12"/>
      <c r="H20" s="12"/>
      <c r="I20" s="12"/>
      <c r="J20" s="12" t="s">
        <v>66</v>
      </c>
      <c r="K20" s="12" t="s">
        <v>32</v>
      </c>
      <c r="L20" s="12" t="s">
        <v>94</v>
      </c>
      <c r="M20" s="12" t="s">
        <v>34</v>
      </c>
      <c r="N20" s="12" t="s">
        <v>105</v>
      </c>
      <c r="O20" s="12" t="s">
        <v>46</v>
      </c>
      <c r="P20" s="12" t="s">
        <v>36</v>
      </c>
      <c r="Q20" s="12" t="s">
        <v>36</v>
      </c>
      <c r="R20" s="11"/>
      <c r="S20" s="11" t="s">
        <v>58</v>
      </c>
      <c r="T20" s="11" t="s">
        <v>127</v>
      </c>
      <c r="U20" s="11" t="s">
        <v>380</v>
      </c>
      <c r="V20" s="12" t="s">
        <v>95</v>
      </c>
      <c r="W20" s="12" t="s">
        <v>46</v>
      </c>
      <c r="X20" s="12" t="s">
        <v>407</v>
      </c>
      <c r="Y20" s="11" t="str">
        <f>HYPERLINK("https://www.stromypodkontrolou.cz/map/tree/d41bce85-5010-4276-b929-4760db78c679/a593d20b-0326-4104-93a3-5158f9c2dcd5")</f>
        <v>https://www.stromypodkontrolou.cz/map/tree/d41bce85-5010-4276-b929-4760db78c679/a593d20b-0326-4104-93a3-5158f9c2dcd5</v>
      </c>
      <c r="Z20" s="11">
        <v>-762341.77141299995</v>
      </c>
      <c r="AA20" s="11">
        <v>-985342.11016000004</v>
      </c>
      <c r="AB20" s="11" t="str">
        <f>HYPERLINK("https://www.mapy.cz?st=search&amp;fr=50.57655689 14.03708171")</f>
        <v>https://www.mapy.cz?st=search&amp;fr=50.57655689 14.03708171</v>
      </c>
      <c r="AC20" s="6">
        <f t="shared" si="3"/>
        <v>143</v>
      </c>
      <c r="AD20" s="6" t="s">
        <v>869</v>
      </c>
      <c r="AE20" s="37"/>
    </row>
    <row r="21" spans="1:31" ht="35.1" customHeight="1" x14ac:dyDescent="0.2">
      <c r="A21" s="26" t="s">
        <v>52</v>
      </c>
      <c r="B21" s="12">
        <v>10169</v>
      </c>
      <c r="C21" s="13" t="s">
        <v>417</v>
      </c>
      <c r="D21" s="14" t="s">
        <v>62</v>
      </c>
      <c r="E21" s="11" t="s">
        <v>63</v>
      </c>
      <c r="F21" s="12" t="s">
        <v>116</v>
      </c>
      <c r="G21" s="12" t="s">
        <v>167</v>
      </c>
      <c r="H21" s="12" t="s">
        <v>124</v>
      </c>
      <c r="I21" s="12" t="s">
        <v>98</v>
      </c>
      <c r="J21" s="12" t="s">
        <v>75</v>
      </c>
      <c r="K21" s="12" t="s">
        <v>61</v>
      </c>
      <c r="L21" s="12" t="s">
        <v>41</v>
      </c>
      <c r="M21" s="12" t="s">
        <v>34</v>
      </c>
      <c r="N21" s="12" t="s">
        <v>45</v>
      </c>
      <c r="O21" s="12" t="s">
        <v>36</v>
      </c>
      <c r="P21" s="12" t="s">
        <v>37</v>
      </c>
      <c r="Q21" s="12" t="s">
        <v>37</v>
      </c>
      <c r="R21" s="11" t="s">
        <v>418</v>
      </c>
      <c r="S21" s="11" t="s">
        <v>58</v>
      </c>
      <c r="T21" s="11" t="s">
        <v>127</v>
      </c>
      <c r="U21" s="11" t="s">
        <v>384</v>
      </c>
      <c r="V21" s="12" t="s">
        <v>95</v>
      </c>
      <c r="W21" s="12" t="s">
        <v>46</v>
      </c>
      <c r="X21" s="12" t="s">
        <v>419</v>
      </c>
      <c r="Y21" s="11" t="str">
        <f>HYPERLINK("https://www.stromypodkontrolou.cz/map/tree/d41bce85-5010-4276-b929-4760db78c679/98ddc20c-0174-4f04-b747-9c414278d489")</f>
        <v>https://www.stromypodkontrolou.cz/map/tree/d41bce85-5010-4276-b929-4760db78c679/98ddc20c-0174-4f04-b747-9c414278d489</v>
      </c>
      <c r="Z21" s="11">
        <v>-762336.96656099998</v>
      </c>
      <c r="AA21" s="11">
        <v>-985364.73447899998</v>
      </c>
      <c r="AB21" s="11" t="str">
        <f>HYPERLINK("https://www.mapy.cz?st=search&amp;fr=50.57636164 14.03719403")</f>
        <v>https://www.mapy.cz?st=search&amp;fr=50.57636164 14.03719403</v>
      </c>
      <c r="AC21" s="6">
        <f t="shared" si="3"/>
        <v>224</v>
      </c>
      <c r="AD21" s="6" t="s">
        <v>865</v>
      </c>
      <c r="AE21" s="37"/>
    </row>
    <row r="22" spans="1:31" ht="35.1" customHeight="1" x14ac:dyDescent="0.2">
      <c r="A22" s="26" t="s">
        <v>52</v>
      </c>
      <c r="B22" s="12">
        <v>10170</v>
      </c>
      <c r="C22" s="13" t="s">
        <v>420</v>
      </c>
      <c r="D22" s="14" t="s">
        <v>62</v>
      </c>
      <c r="E22" s="11" t="s">
        <v>63</v>
      </c>
      <c r="F22" s="12" t="s">
        <v>65</v>
      </c>
      <c r="G22" s="12" t="s">
        <v>69</v>
      </c>
      <c r="H22" s="12"/>
      <c r="I22" s="12"/>
      <c r="J22" s="12" t="s">
        <v>66</v>
      </c>
      <c r="K22" s="12" t="s">
        <v>61</v>
      </c>
      <c r="L22" s="12" t="s">
        <v>47</v>
      </c>
      <c r="M22" s="12" t="s">
        <v>34</v>
      </c>
      <c r="N22" s="12" t="s">
        <v>105</v>
      </c>
      <c r="O22" s="12" t="s">
        <v>46</v>
      </c>
      <c r="P22" s="12" t="s">
        <v>36</v>
      </c>
      <c r="Q22" s="12" t="s">
        <v>36</v>
      </c>
      <c r="R22" s="11" t="s">
        <v>114</v>
      </c>
      <c r="S22" s="11" t="s">
        <v>58</v>
      </c>
      <c r="T22" s="11" t="s">
        <v>127</v>
      </c>
      <c r="U22" s="11" t="s">
        <v>380</v>
      </c>
      <c r="V22" s="12" t="s">
        <v>95</v>
      </c>
      <c r="W22" s="12" t="s">
        <v>46</v>
      </c>
      <c r="X22" s="12" t="s">
        <v>407</v>
      </c>
      <c r="Y22" s="11" t="str">
        <f>HYPERLINK("https://www.stromypodkontrolou.cz/map/tree/d41bce85-5010-4276-b929-4760db78c679/bd9bf6d8-8260-4ebd-a446-cc273cf936b0")</f>
        <v>https://www.stromypodkontrolou.cz/map/tree/d41bce85-5010-4276-b929-4760db78c679/bd9bf6d8-8260-4ebd-a446-cc273cf936b0</v>
      </c>
      <c r="Z22" s="11">
        <v>-762343.01907299994</v>
      </c>
      <c r="AA22" s="11">
        <v>-985378.89416200004</v>
      </c>
      <c r="AB22" s="11" t="str">
        <f>HYPERLINK("https://www.mapy.cz?st=search&amp;fr=50.57622793 14.03713770")</f>
        <v>https://www.mapy.cz?st=search&amp;fr=50.57622793 14.03713770</v>
      </c>
      <c r="AC22" s="6">
        <f t="shared" si="3"/>
        <v>156</v>
      </c>
      <c r="AD22" s="6" t="s">
        <v>869</v>
      </c>
      <c r="AE22" s="37"/>
    </row>
    <row r="23" spans="1:31" ht="35.1" customHeight="1" x14ac:dyDescent="0.2">
      <c r="A23" s="26" t="s">
        <v>138</v>
      </c>
      <c r="B23" s="12">
        <v>15231</v>
      </c>
      <c r="C23" s="13" t="s">
        <v>423</v>
      </c>
      <c r="D23" s="14" t="s">
        <v>133</v>
      </c>
      <c r="E23" s="11" t="s">
        <v>134</v>
      </c>
      <c r="F23" s="12" t="s">
        <v>230</v>
      </c>
      <c r="G23" s="12" t="s">
        <v>167</v>
      </c>
      <c r="H23" s="12"/>
      <c r="I23" s="12"/>
      <c r="J23" s="12" t="s">
        <v>90</v>
      </c>
      <c r="K23" s="12" t="s">
        <v>43</v>
      </c>
      <c r="L23" s="12" t="s">
        <v>47</v>
      </c>
      <c r="M23" s="12" t="s">
        <v>34</v>
      </c>
      <c r="N23" s="12" t="s">
        <v>45</v>
      </c>
      <c r="O23" s="12" t="s">
        <v>36</v>
      </c>
      <c r="P23" s="12" t="s">
        <v>37</v>
      </c>
      <c r="Q23" s="12" t="s">
        <v>37</v>
      </c>
      <c r="R23" s="11" t="s">
        <v>424</v>
      </c>
      <c r="S23" s="11" t="s">
        <v>135</v>
      </c>
      <c r="T23" s="11" t="s">
        <v>139</v>
      </c>
      <c r="U23" s="11" t="s">
        <v>384</v>
      </c>
      <c r="V23" s="12" t="s">
        <v>95</v>
      </c>
      <c r="W23" s="12" t="s">
        <v>46</v>
      </c>
      <c r="X23" s="12" t="s">
        <v>425</v>
      </c>
      <c r="Y23" s="11" t="str">
        <f>HYPERLINK("https://www.stromypodkontrolou.cz/map/tree/d41bce85-5010-4276-b929-4760db78c679/820f1cd8-156e-4df8-a0ea-33232e2e6b72")</f>
        <v>https://www.stromypodkontrolou.cz/map/tree/d41bce85-5010-4276-b929-4760db78c679/820f1cd8-156e-4df8-a0ea-33232e2e6b72</v>
      </c>
      <c r="Z23" s="11">
        <v>-762471.56565799995</v>
      </c>
      <c r="AA23" s="11">
        <v>-986393.80835099996</v>
      </c>
      <c r="AB23" s="11" t="str">
        <f>HYPERLINK("https://www.mapy.cz?st=search&amp;fr=50.56703198 14.03736703")</f>
        <v>https://www.mapy.cz?st=search&amp;fr=50.56703198 14.03736703</v>
      </c>
      <c r="AC23" s="6">
        <f t="shared" ref="AC23:AC26" si="4">(J23-K23)*L23</f>
        <v>156</v>
      </c>
      <c r="AD23" s="6" t="s">
        <v>865</v>
      </c>
      <c r="AE23" s="37"/>
    </row>
    <row r="24" spans="1:31" ht="35.1" customHeight="1" x14ac:dyDescent="0.2">
      <c r="A24" s="47" t="s">
        <v>138</v>
      </c>
      <c r="B24" s="46">
        <v>15252</v>
      </c>
      <c r="C24" s="48" t="s">
        <v>426</v>
      </c>
      <c r="D24" s="49" t="s">
        <v>133</v>
      </c>
      <c r="E24" s="45" t="s">
        <v>134</v>
      </c>
      <c r="F24" s="46" t="s">
        <v>238</v>
      </c>
      <c r="G24" s="46" t="s">
        <v>152</v>
      </c>
      <c r="H24" s="46" t="s">
        <v>119</v>
      </c>
      <c r="I24" s="46"/>
      <c r="J24" s="46" t="s">
        <v>75</v>
      </c>
      <c r="K24" s="46" t="s">
        <v>61</v>
      </c>
      <c r="L24" s="46" t="s">
        <v>94</v>
      </c>
      <c r="M24" s="46" t="s">
        <v>34</v>
      </c>
      <c r="N24" s="46" t="s">
        <v>45</v>
      </c>
      <c r="O24" s="46" t="s">
        <v>36</v>
      </c>
      <c r="P24" s="46" t="s">
        <v>37</v>
      </c>
      <c r="Q24" s="46" t="s">
        <v>37</v>
      </c>
      <c r="R24" s="45" t="s">
        <v>427</v>
      </c>
      <c r="S24" s="45" t="s">
        <v>135</v>
      </c>
      <c r="T24" s="45" t="s">
        <v>141</v>
      </c>
      <c r="U24" s="11" t="s">
        <v>382</v>
      </c>
      <c r="V24" s="12" t="s">
        <v>95</v>
      </c>
      <c r="W24" s="12" t="s">
        <v>46</v>
      </c>
      <c r="X24" s="12"/>
      <c r="Y24" s="45" t="str">
        <f>HYPERLINK("https://www.stromypodkontrolou.cz/map/tree/d41bce85-5010-4276-b929-4760db78c679/ad7851a5-a35e-48f1-82a4-6ec874515de5")</f>
        <v>https://www.stromypodkontrolou.cz/map/tree/d41bce85-5010-4276-b929-4760db78c679/ad7851a5-a35e-48f1-82a4-6ec874515de5</v>
      </c>
      <c r="Z24" s="45">
        <v>-762364.76982000005</v>
      </c>
      <c r="AA24" s="45">
        <v>-986203.95027200005</v>
      </c>
      <c r="AB24" s="45" t="str">
        <f>HYPERLINK("https://www.mapy.cz?st=search&amp;fr=50.56885743 14.03848048")</f>
        <v>https://www.mapy.cz?st=search&amp;fr=50.56885743 14.03848048</v>
      </c>
      <c r="AC24" s="6">
        <f t="shared" si="4"/>
        <v>182</v>
      </c>
      <c r="AD24" s="6" t="s">
        <v>870</v>
      </c>
      <c r="AE24" s="37"/>
    </row>
    <row r="25" spans="1:31" ht="35.1" customHeight="1" x14ac:dyDescent="0.2">
      <c r="A25" s="47"/>
      <c r="B25" s="46"/>
      <c r="C25" s="48"/>
      <c r="D25" s="49"/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5"/>
      <c r="S25" s="45"/>
      <c r="T25" s="45"/>
      <c r="U25" s="11" t="s">
        <v>384</v>
      </c>
      <c r="V25" s="12" t="s">
        <v>95</v>
      </c>
      <c r="W25" s="12" t="s">
        <v>46</v>
      </c>
      <c r="X25" s="12" t="s">
        <v>388</v>
      </c>
      <c r="Y25" s="45"/>
      <c r="Z25" s="45"/>
      <c r="AA25" s="45"/>
      <c r="AB25" s="45"/>
      <c r="AC25" s="6">
        <f t="shared" si="4"/>
        <v>0</v>
      </c>
      <c r="AD25" s="6" t="s">
        <v>865</v>
      </c>
      <c r="AE25" s="37"/>
    </row>
    <row r="26" spans="1:31" ht="34.5" customHeight="1" x14ac:dyDescent="0.2">
      <c r="A26" s="26" t="s">
        <v>138</v>
      </c>
      <c r="B26" s="12">
        <v>15253</v>
      </c>
      <c r="C26" s="13" t="s">
        <v>428</v>
      </c>
      <c r="D26" s="14" t="s">
        <v>133</v>
      </c>
      <c r="E26" s="11" t="s">
        <v>134</v>
      </c>
      <c r="F26" s="12" t="s">
        <v>206</v>
      </c>
      <c r="G26" s="12" t="s">
        <v>219</v>
      </c>
      <c r="H26" s="12"/>
      <c r="I26" s="12"/>
      <c r="J26" s="12" t="s">
        <v>75</v>
      </c>
      <c r="K26" s="12" t="s">
        <v>61</v>
      </c>
      <c r="L26" s="12" t="s">
        <v>136</v>
      </c>
      <c r="M26" s="12" t="s">
        <v>34</v>
      </c>
      <c r="N26" s="12" t="s">
        <v>45</v>
      </c>
      <c r="O26" s="12" t="s">
        <v>36</v>
      </c>
      <c r="P26" s="12" t="s">
        <v>37</v>
      </c>
      <c r="Q26" s="12" t="s">
        <v>37</v>
      </c>
      <c r="R26" s="11" t="s">
        <v>183</v>
      </c>
      <c r="S26" s="11" t="s">
        <v>135</v>
      </c>
      <c r="T26" s="11" t="s">
        <v>141</v>
      </c>
      <c r="U26" s="11" t="s">
        <v>384</v>
      </c>
      <c r="V26" s="12" t="s">
        <v>95</v>
      </c>
      <c r="W26" s="12" t="s">
        <v>46</v>
      </c>
      <c r="X26" s="12" t="s">
        <v>388</v>
      </c>
      <c r="Y26" s="11" t="str">
        <f>HYPERLINK("https://www.stromypodkontrolou.cz/map/tree/d41bce85-5010-4276-b929-4760db78c679/fa0702f6-18dd-48c6-a5df-fb8aed24f9ae")</f>
        <v>https://www.stromypodkontrolou.cz/map/tree/d41bce85-5010-4276-b929-4760db78c679/fa0702f6-18dd-48c6-a5df-fb8aed24f9ae</v>
      </c>
      <c r="Z26" s="11">
        <v>-762360.65492300002</v>
      </c>
      <c r="AA26" s="11">
        <v>-986196.97684400005</v>
      </c>
      <c r="AB26" s="11" t="str">
        <f>HYPERLINK("https://www.mapy.cz?st=search&amp;fr=50.56892472 14.03852407")</f>
        <v>https://www.mapy.cz?st=search&amp;fr=50.56892472 14.03852407</v>
      </c>
      <c r="AC26" s="6">
        <f t="shared" si="4"/>
        <v>196</v>
      </c>
      <c r="AD26" s="6" t="s">
        <v>865</v>
      </c>
      <c r="AE26" s="37"/>
    </row>
    <row r="27" spans="1:31" ht="35.1" customHeight="1" x14ac:dyDescent="0.2">
      <c r="A27" s="26" t="s">
        <v>146</v>
      </c>
      <c r="B27" s="12">
        <v>15161</v>
      </c>
      <c r="C27" s="13" t="s">
        <v>434</v>
      </c>
      <c r="D27" s="14" t="s">
        <v>133</v>
      </c>
      <c r="E27" s="11" t="s">
        <v>134</v>
      </c>
      <c r="F27" s="12" t="s">
        <v>228</v>
      </c>
      <c r="G27" s="12" t="s">
        <v>132</v>
      </c>
      <c r="H27" s="12"/>
      <c r="I27" s="12"/>
      <c r="J27" s="12" t="s">
        <v>75</v>
      </c>
      <c r="K27" s="12" t="s">
        <v>61</v>
      </c>
      <c r="L27" s="12" t="s">
        <v>48</v>
      </c>
      <c r="M27" s="12" t="s">
        <v>34</v>
      </c>
      <c r="N27" s="12" t="s">
        <v>105</v>
      </c>
      <c r="O27" s="12" t="s">
        <v>36</v>
      </c>
      <c r="P27" s="12" t="s">
        <v>37</v>
      </c>
      <c r="Q27" s="12" t="s">
        <v>37</v>
      </c>
      <c r="R27" s="11" t="s">
        <v>435</v>
      </c>
      <c r="S27" s="11" t="s">
        <v>135</v>
      </c>
      <c r="T27" s="11" t="s">
        <v>147</v>
      </c>
      <c r="U27" s="11" t="s">
        <v>384</v>
      </c>
      <c r="V27" s="12" t="s">
        <v>95</v>
      </c>
      <c r="W27" s="12" t="s">
        <v>46</v>
      </c>
      <c r="X27" s="12" t="s">
        <v>388</v>
      </c>
      <c r="Y27" s="11" t="str">
        <f>HYPERLINK("https://www.stromypodkontrolou.cz/map/tree/d41bce85-5010-4276-b929-4760db78c679/92a8680b-f3f2-49f4-a7c3-d1274372db87")</f>
        <v>https://www.stromypodkontrolou.cz/map/tree/d41bce85-5010-4276-b929-4760db78c679/92a8680b-f3f2-49f4-a7c3-d1274372db87</v>
      </c>
      <c r="Z27" s="11">
        <v>-762506.38740799995</v>
      </c>
      <c r="AA27" s="11">
        <v>-987850.17298799998</v>
      </c>
      <c r="AB27" s="11" t="str">
        <f>HYPERLINK("https://www.mapy.cz?st=search&amp;fr=50.55402627 14.03978638")</f>
        <v>https://www.mapy.cz?st=search&amp;fr=50.55402627 14.03978638</v>
      </c>
      <c r="AC27" s="6">
        <f t="shared" ref="AC27:AC28" si="5">(J27-K27)*L27</f>
        <v>140</v>
      </c>
      <c r="AD27" s="6" t="s">
        <v>865</v>
      </c>
      <c r="AE27" s="37"/>
    </row>
    <row r="28" spans="1:31" ht="35.1" customHeight="1" x14ac:dyDescent="0.2">
      <c r="A28" s="26" t="s">
        <v>146</v>
      </c>
      <c r="B28" s="12">
        <v>15163</v>
      </c>
      <c r="C28" s="13" t="s">
        <v>436</v>
      </c>
      <c r="D28" s="14" t="s">
        <v>28</v>
      </c>
      <c r="E28" s="11" t="s">
        <v>29</v>
      </c>
      <c r="F28" s="12" t="s">
        <v>208</v>
      </c>
      <c r="G28" s="12"/>
      <c r="H28" s="12"/>
      <c r="I28" s="12"/>
      <c r="J28" s="12" t="s">
        <v>229</v>
      </c>
      <c r="K28" s="12" t="s">
        <v>61</v>
      </c>
      <c r="L28" s="12" t="s">
        <v>94</v>
      </c>
      <c r="M28" s="12" t="s">
        <v>95</v>
      </c>
      <c r="N28" s="12" t="s">
        <v>45</v>
      </c>
      <c r="O28" s="12" t="s">
        <v>36</v>
      </c>
      <c r="P28" s="12" t="s">
        <v>37</v>
      </c>
      <c r="Q28" s="12" t="s">
        <v>37</v>
      </c>
      <c r="R28" s="11" t="s">
        <v>137</v>
      </c>
      <c r="S28" s="11" t="s">
        <v>135</v>
      </c>
      <c r="T28" s="11" t="s">
        <v>147</v>
      </c>
      <c r="U28" s="11" t="s">
        <v>384</v>
      </c>
      <c r="V28" s="12" t="s">
        <v>95</v>
      </c>
      <c r="W28" s="12" t="s">
        <v>46</v>
      </c>
      <c r="X28" s="12" t="s">
        <v>388</v>
      </c>
      <c r="Y28" s="11" t="str">
        <f>HYPERLINK("https://www.stromypodkontrolou.cz/map/tree/d41bce85-5010-4276-b929-4760db78c679/101255a0-6612-4361-bb84-65f182b87ca2")</f>
        <v>https://www.stromypodkontrolou.cz/map/tree/d41bce85-5010-4276-b929-4760db78c679/101255a0-6612-4361-bb84-65f182b87ca2</v>
      </c>
      <c r="Z28" s="11">
        <v>-762502.21834000002</v>
      </c>
      <c r="AA28" s="11">
        <v>-987864.17182499997</v>
      </c>
      <c r="AB28" s="11" t="str">
        <f>HYPERLINK("https://www.mapy.cz?st=search&amp;fr=50.55390698 14.03987255")</f>
        <v>https://www.mapy.cz?st=search&amp;fr=50.55390698 14.03987255</v>
      </c>
      <c r="AC28" s="6">
        <f t="shared" si="5"/>
        <v>377</v>
      </c>
      <c r="AD28" s="6" t="s">
        <v>879</v>
      </c>
      <c r="AE28" s="37"/>
    </row>
    <row r="29" spans="1:31" ht="35.1" customHeight="1" x14ac:dyDescent="0.2">
      <c r="A29" s="26" t="s">
        <v>146</v>
      </c>
      <c r="B29" s="12">
        <v>15169</v>
      </c>
      <c r="C29" s="13" t="s">
        <v>437</v>
      </c>
      <c r="D29" s="14" t="s">
        <v>133</v>
      </c>
      <c r="E29" s="11" t="s">
        <v>134</v>
      </c>
      <c r="F29" s="12" t="s">
        <v>160</v>
      </c>
      <c r="G29" s="12" t="s">
        <v>238</v>
      </c>
      <c r="H29" s="12"/>
      <c r="I29" s="12"/>
      <c r="J29" s="12" t="s">
        <v>102</v>
      </c>
      <c r="K29" s="12" t="s">
        <v>43</v>
      </c>
      <c r="L29" s="12" t="s">
        <v>48</v>
      </c>
      <c r="M29" s="12" t="s">
        <v>95</v>
      </c>
      <c r="N29" s="12" t="s">
        <v>105</v>
      </c>
      <c r="O29" s="12" t="s">
        <v>37</v>
      </c>
      <c r="P29" s="12" t="s">
        <v>37</v>
      </c>
      <c r="Q29" s="12" t="s">
        <v>37</v>
      </c>
      <c r="R29" s="11" t="s">
        <v>212</v>
      </c>
      <c r="S29" s="11" t="s">
        <v>135</v>
      </c>
      <c r="T29" s="11" t="s">
        <v>147</v>
      </c>
      <c r="U29" s="11" t="s">
        <v>384</v>
      </c>
      <c r="V29" s="12" t="s">
        <v>95</v>
      </c>
      <c r="W29" s="12" t="s">
        <v>46</v>
      </c>
      <c r="X29" s="12" t="s">
        <v>403</v>
      </c>
      <c r="Y29" s="11" t="str">
        <f>HYPERLINK("https://www.stromypodkontrolou.cz/map/tree/d41bce85-5010-4276-b929-4760db78c679/6ad698c6-474a-4a37-bf9e-0beca61dd77f")</f>
        <v>https://www.stromypodkontrolou.cz/map/tree/d41bce85-5010-4276-b929-4760db78c679/6ad698c6-474a-4a37-bf9e-0beca61dd77f</v>
      </c>
      <c r="Z29" s="11">
        <v>-762497.44076799997</v>
      </c>
      <c r="AA29" s="11">
        <v>-987909.03801100003</v>
      </c>
      <c r="AB29" s="11" t="str">
        <f>HYPERLINK("https://www.mapy.cz?st=search&amp;fr=50.55351374 14.04002879")</f>
        <v>https://www.mapy.cz?st=search&amp;fr=50.55351374 14.04002879</v>
      </c>
      <c r="AC29" s="6">
        <f>(J29-K29)*L29</f>
        <v>190</v>
      </c>
      <c r="AD29" s="6" t="s">
        <v>865</v>
      </c>
      <c r="AE29" s="37"/>
    </row>
    <row r="30" spans="1:31" ht="35.25" customHeight="1" x14ac:dyDescent="0.2">
      <c r="A30" s="26" t="s">
        <v>165</v>
      </c>
      <c r="B30" s="12">
        <v>15119</v>
      </c>
      <c r="C30" s="13" t="s">
        <v>440</v>
      </c>
      <c r="D30" s="14" t="s">
        <v>28</v>
      </c>
      <c r="E30" s="11" t="s">
        <v>29</v>
      </c>
      <c r="F30" s="12" t="s">
        <v>53</v>
      </c>
      <c r="G30" s="12" t="s">
        <v>132</v>
      </c>
      <c r="H30" s="12"/>
      <c r="I30" s="12"/>
      <c r="J30" s="12" t="s">
        <v>168</v>
      </c>
      <c r="K30" s="12" t="s">
        <v>113</v>
      </c>
      <c r="L30" s="12" t="s">
        <v>47</v>
      </c>
      <c r="M30" s="12" t="s">
        <v>34</v>
      </c>
      <c r="N30" s="12" t="s">
        <v>45</v>
      </c>
      <c r="O30" s="12" t="s">
        <v>37</v>
      </c>
      <c r="P30" s="12" t="s">
        <v>36</v>
      </c>
      <c r="Q30" s="12" t="s">
        <v>36</v>
      </c>
      <c r="R30" s="11" t="s">
        <v>212</v>
      </c>
      <c r="S30" s="11" t="s">
        <v>135</v>
      </c>
      <c r="T30" s="11" t="s">
        <v>166</v>
      </c>
      <c r="U30" s="11" t="s">
        <v>380</v>
      </c>
      <c r="V30" s="12" t="s">
        <v>95</v>
      </c>
      <c r="W30" s="12" t="s">
        <v>46</v>
      </c>
      <c r="X30" s="12" t="s">
        <v>439</v>
      </c>
      <c r="Y30" s="11" t="str">
        <f>HYPERLINK("https://www.stromypodkontrolou.cz/map/tree/d41bce85-5010-4276-b929-4760db78c679/ec97b016-ee13-48d4-b8e3-4e9bb5927a27")</f>
        <v>https://www.stromypodkontrolou.cz/map/tree/d41bce85-5010-4276-b929-4760db78c679/ec97b016-ee13-48d4-b8e3-4e9bb5927a27</v>
      </c>
      <c r="Z30" s="11">
        <v>-761988.15630599996</v>
      </c>
      <c r="AA30" s="11">
        <v>-988849.84407800005</v>
      </c>
      <c r="AB30" s="11" t="str">
        <f>HYPERLINK("https://www.mapy.cz?st=search&amp;fr=50.54578751 14.04901855")</f>
        <v>https://www.mapy.cz?st=search&amp;fr=50.54578751 14.04901855</v>
      </c>
      <c r="AC30" s="6">
        <f>(J30-K30)*L30</f>
        <v>228</v>
      </c>
      <c r="AD30" s="6" t="s">
        <v>871</v>
      </c>
      <c r="AE30" s="37"/>
    </row>
    <row r="31" spans="1:31" ht="34.5" customHeight="1" x14ac:dyDescent="0.2">
      <c r="A31" s="26" t="s">
        <v>172</v>
      </c>
      <c r="B31" s="12">
        <v>10178</v>
      </c>
      <c r="C31" s="13" t="s">
        <v>441</v>
      </c>
      <c r="D31" s="14" t="s">
        <v>62</v>
      </c>
      <c r="E31" s="11" t="s">
        <v>63</v>
      </c>
      <c r="F31" s="12" t="s">
        <v>237</v>
      </c>
      <c r="G31" s="12" t="s">
        <v>77</v>
      </c>
      <c r="H31" s="12"/>
      <c r="I31" s="12"/>
      <c r="J31" s="12" t="s">
        <v>75</v>
      </c>
      <c r="K31" s="12" t="s">
        <v>61</v>
      </c>
      <c r="L31" s="12" t="s">
        <v>94</v>
      </c>
      <c r="M31" s="12" t="s">
        <v>34</v>
      </c>
      <c r="N31" s="12" t="s">
        <v>105</v>
      </c>
      <c r="O31" s="12" t="s">
        <v>46</v>
      </c>
      <c r="P31" s="12" t="s">
        <v>37</v>
      </c>
      <c r="Q31" s="12" t="s">
        <v>37</v>
      </c>
      <c r="R31" s="11" t="s">
        <v>156</v>
      </c>
      <c r="S31" s="11" t="s">
        <v>175</v>
      </c>
      <c r="T31" s="11" t="s">
        <v>176</v>
      </c>
      <c r="U31" s="11" t="s">
        <v>384</v>
      </c>
      <c r="V31" s="12" t="s">
        <v>95</v>
      </c>
      <c r="W31" s="12" t="s">
        <v>46</v>
      </c>
      <c r="X31" s="12" t="s">
        <v>403</v>
      </c>
      <c r="Y31" s="11" t="str">
        <f>HYPERLINK("https://www.stromypodkontrolou.cz/map/tree/d41bce85-5010-4276-b929-4760db78c679/476ec152-cadd-4236-ab47-7e1a1f714fdf")</f>
        <v>https://www.stromypodkontrolou.cz/map/tree/d41bce85-5010-4276-b929-4760db78c679/476ec152-cadd-4236-ab47-7e1a1f714fdf</v>
      </c>
      <c r="Z31" s="11">
        <v>-761549.44091</v>
      </c>
      <c r="AA31" s="11">
        <v>-989149.81669999997</v>
      </c>
      <c r="AB31" s="11" t="str">
        <f>HYPERLINK("https://www.mapy.cz?st=search&amp;fr=50.54367460 14.05574385")</f>
        <v>https://www.mapy.cz?st=search&amp;fr=50.54367460 14.05574385</v>
      </c>
      <c r="AC31" s="6">
        <f>(J31-K31)*L31</f>
        <v>182</v>
      </c>
      <c r="AD31" s="6" t="s">
        <v>865</v>
      </c>
      <c r="AE31" s="37"/>
    </row>
    <row r="32" spans="1:31" ht="34.5" customHeight="1" x14ac:dyDescent="0.2">
      <c r="A32" s="26" t="s">
        <v>172</v>
      </c>
      <c r="B32" s="12">
        <v>10183</v>
      </c>
      <c r="C32" s="13" t="s">
        <v>442</v>
      </c>
      <c r="D32" s="14" t="s">
        <v>173</v>
      </c>
      <c r="E32" s="11" t="s">
        <v>174</v>
      </c>
      <c r="F32" s="12" t="s">
        <v>83</v>
      </c>
      <c r="G32" s="12"/>
      <c r="H32" s="12"/>
      <c r="I32" s="12"/>
      <c r="J32" s="12" t="s">
        <v>60</v>
      </c>
      <c r="K32" s="12" t="s">
        <v>43</v>
      </c>
      <c r="L32" s="12" t="s">
        <v>44</v>
      </c>
      <c r="M32" s="12" t="s">
        <v>37</v>
      </c>
      <c r="N32" s="12" t="s">
        <v>105</v>
      </c>
      <c r="O32" s="12" t="s">
        <v>46</v>
      </c>
      <c r="P32" s="12" t="s">
        <v>46</v>
      </c>
      <c r="Q32" s="12" t="s">
        <v>36</v>
      </c>
      <c r="R32" s="11" t="s">
        <v>443</v>
      </c>
      <c r="S32" s="11" t="s">
        <v>175</v>
      </c>
      <c r="T32" s="11" t="s">
        <v>176</v>
      </c>
      <c r="U32" s="11" t="s">
        <v>378</v>
      </c>
      <c r="V32" s="12" t="s">
        <v>95</v>
      </c>
      <c r="W32" s="12" t="s">
        <v>46</v>
      </c>
      <c r="X32" s="12"/>
      <c r="Y32" s="11" t="str">
        <f>HYPERLINK("https://www.stromypodkontrolou.cz/map/tree/d41bce85-5010-4276-b929-4760db78c679/b4570e76-951a-4f25-8ff1-13bcd95364ff")</f>
        <v>https://www.stromypodkontrolou.cz/map/tree/d41bce85-5010-4276-b929-4760db78c679/b4570e76-951a-4f25-8ff1-13bcd95364ff</v>
      </c>
      <c r="Z32" s="11">
        <v>-761476.51026100002</v>
      </c>
      <c r="AA32" s="11">
        <v>-989234.13925699994</v>
      </c>
      <c r="AB32" s="11" t="str">
        <f>HYPERLINK("https://www.mapy.cz?st=search&amp;fr=50.54301665 14.05693039")</f>
        <v>https://www.mapy.cz?st=search&amp;fr=50.54301665 14.05693039</v>
      </c>
      <c r="AC32" s="6">
        <f>(J32-K32)*L32</f>
        <v>60</v>
      </c>
      <c r="AD32" s="6" t="s">
        <v>866</v>
      </c>
      <c r="AE32" s="37"/>
    </row>
    <row r="33" spans="1:31" ht="45.75" customHeight="1" x14ac:dyDescent="0.2">
      <c r="A33" s="26" t="s">
        <v>172</v>
      </c>
      <c r="B33" s="12">
        <v>10186</v>
      </c>
      <c r="C33" s="13" t="s">
        <v>444</v>
      </c>
      <c r="D33" s="14" t="s">
        <v>62</v>
      </c>
      <c r="E33" s="11" t="s">
        <v>63</v>
      </c>
      <c r="F33" s="12" t="s">
        <v>227</v>
      </c>
      <c r="G33" s="12" t="s">
        <v>235</v>
      </c>
      <c r="H33" s="12" t="s">
        <v>157</v>
      </c>
      <c r="I33" s="12"/>
      <c r="J33" s="12" t="s">
        <v>72</v>
      </c>
      <c r="K33" s="12" t="s">
        <v>43</v>
      </c>
      <c r="L33" s="12" t="s">
        <v>94</v>
      </c>
      <c r="M33" s="12" t="s">
        <v>34</v>
      </c>
      <c r="N33" s="12" t="s">
        <v>105</v>
      </c>
      <c r="O33" s="12" t="s">
        <v>36</v>
      </c>
      <c r="P33" s="12" t="s">
        <v>37</v>
      </c>
      <c r="Q33" s="12" t="s">
        <v>34</v>
      </c>
      <c r="R33" s="11" t="s">
        <v>445</v>
      </c>
      <c r="S33" s="11" t="s">
        <v>175</v>
      </c>
      <c r="T33" s="11" t="s">
        <v>176</v>
      </c>
      <c r="U33" s="11" t="s">
        <v>384</v>
      </c>
      <c r="V33" s="12" t="s">
        <v>95</v>
      </c>
      <c r="W33" s="12" t="s">
        <v>46</v>
      </c>
      <c r="X33" s="12" t="s">
        <v>403</v>
      </c>
      <c r="Y33" s="11" t="str">
        <f>HYPERLINK("https://www.stromypodkontrolou.cz/map/tree/d41bce85-5010-4276-b929-4760db78c679/494d8e7f-b0f7-4abc-b917-5a54c2fbc4d3")</f>
        <v>https://www.stromypodkontrolou.cz/map/tree/d41bce85-5010-4276-b929-4760db78c679/494d8e7f-b0f7-4abc-b917-5a54c2fbc4d3</v>
      </c>
      <c r="Z33" s="11">
        <v>-761420.30896900001</v>
      </c>
      <c r="AA33" s="11">
        <v>-989310.21154000005</v>
      </c>
      <c r="AB33" s="11" t="str">
        <f>HYPERLINK("https://www.mapy.cz?st=search&amp;fr=50.54241089 14.05786682")</f>
        <v>https://www.mapy.cz?st=search&amp;fr=50.54241089 14.05786682</v>
      </c>
      <c r="AC33" s="6">
        <f>(J33-K33)*L33</f>
        <v>208</v>
      </c>
      <c r="AD33" s="6" t="s">
        <v>865</v>
      </c>
      <c r="AE33" s="37"/>
    </row>
    <row r="34" spans="1:31" ht="35.1" customHeight="1" x14ac:dyDescent="0.2">
      <c r="A34" s="26" t="s">
        <v>178</v>
      </c>
      <c r="B34" s="12">
        <v>15287</v>
      </c>
      <c r="C34" s="13" t="s">
        <v>446</v>
      </c>
      <c r="D34" s="14" t="s">
        <v>28</v>
      </c>
      <c r="E34" s="11" t="s">
        <v>29</v>
      </c>
      <c r="F34" s="12" t="s">
        <v>81</v>
      </c>
      <c r="G34" s="12" t="s">
        <v>69</v>
      </c>
      <c r="H34" s="12" t="s">
        <v>108</v>
      </c>
      <c r="I34" s="12"/>
      <c r="J34" s="12" t="s">
        <v>117</v>
      </c>
      <c r="K34" s="12" t="s">
        <v>103</v>
      </c>
      <c r="L34" s="12" t="s">
        <v>33</v>
      </c>
      <c r="M34" s="12" t="s">
        <v>37</v>
      </c>
      <c r="N34" s="12" t="s">
        <v>105</v>
      </c>
      <c r="O34" s="12" t="s">
        <v>36</v>
      </c>
      <c r="P34" s="12" t="s">
        <v>36</v>
      </c>
      <c r="Q34" s="12" t="s">
        <v>36</v>
      </c>
      <c r="R34" s="11"/>
      <c r="S34" s="11" t="s">
        <v>180</v>
      </c>
      <c r="T34" s="11" t="s">
        <v>181</v>
      </c>
      <c r="U34" s="11" t="s">
        <v>382</v>
      </c>
      <c r="V34" s="12" t="s">
        <v>95</v>
      </c>
      <c r="W34" s="12" t="s">
        <v>46</v>
      </c>
      <c r="X34" s="12"/>
      <c r="Y34" s="11" t="str">
        <f>HYPERLINK("https://www.stromypodkontrolou.cz/map/tree/d41bce85-5010-4276-b929-4760db78c679/38753b40-fd1a-4a80-b1b2-84ed72b91328")</f>
        <v>https://www.stromypodkontrolou.cz/map/tree/d41bce85-5010-4276-b929-4760db78c679/38753b40-fd1a-4a80-b1b2-84ed72b91328</v>
      </c>
      <c r="Z34" s="11">
        <v>-761724.73515299999</v>
      </c>
      <c r="AA34" s="11">
        <v>-988901.63833700004</v>
      </c>
      <c r="AB34" s="11" t="str">
        <f>HYPERLINK("https://www.mapy.cz?st=search&amp;fr=50.54566095 14.05280113")</f>
        <v>https://www.mapy.cz?st=search&amp;fr=50.54566095 14.05280113</v>
      </c>
      <c r="AC34" s="6">
        <f t="shared" ref="AC34:AC36" si="6">(J34-K34)*L34</f>
        <v>152</v>
      </c>
      <c r="AD34" s="6" t="s">
        <v>870</v>
      </c>
      <c r="AE34" s="37"/>
    </row>
    <row r="35" spans="1:31" ht="35.1" customHeight="1" x14ac:dyDescent="0.2">
      <c r="A35" s="47" t="s">
        <v>178</v>
      </c>
      <c r="B35" s="46">
        <v>15288</v>
      </c>
      <c r="C35" s="48" t="s">
        <v>447</v>
      </c>
      <c r="D35" s="49" t="s">
        <v>28</v>
      </c>
      <c r="E35" s="45" t="s">
        <v>29</v>
      </c>
      <c r="F35" s="46" t="s">
        <v>207</v>
      </c>
      <c r="G35" s="46" t="s">
        <v>100</v>
      </c>
      <c r="H35" s="46"/>
      <c r="I35" s="46"/>
      <c r="J35" s="46" t="s">
        <v>102</v>
      </c>
      <c r="K35" s="46" t="s">
        <v>42</v>
      </c>
      <c r="L35" s="46" t="s">
        <v>33</v>
      </c>
      <c r="M35" s="46" t="s">
        <v>34</v>
      </c>
      <c r="N35" s="46" t="s">
        <v>105</v>
      </c>
      <c r="O35" s="46" t="s">
        <v>36</v>
      </c>
      <c r="P35" s="46" t="s">
        <v>36</v>
      </c>
      <c r="Q35" s="46" t="s">
        <v>36</v>
      </c>
      <c r="R35" s="45"/>
      <c r="S35" s="45" t="s">
        <v>180</v>
      </c>
      <c r="T35" s="45" t="s">
        <v>182</v>
      </c>
      <c r="U35" s="11" t="s">
        <v>382</v>
      </c>
      <c r="V35" s="12" t="s">
        <v>95</v>
      </c>
      <c r="W35" s="12" t="s">
        <v>46</v>
      </c>
      <c r="X35" s="12"/>
      <c r="Y35" s="45" t="str">
        <f>HYPERLINK("https://www.stromypodkontrolou.cz/map/tree/d41bce85-5010-4276-b929-4760db78c679/41e52f2c-caca-4e28-9ec2-169bf8d75cf3")</f>
        <v>https://www.stromypodkontrolou.cz/map/tree/d41bce85-5010-4276-b929-4760db78c679/41e52f2c-caca-4e28-9ec2-169bf8d75cf3</v>
      </c>
      <c r="Z35" s="45">
        <v>-761722.739175</v>
      </c>
      <c r="AA35" s="45">
        <v>-988901.44422599999</v>
      </c>
      <c r="AB35" s="45" t="str">
        <f>HYPERLINK("https://www.mapy.cz?st=search&amp;fr=50.54566522 14.05282863")</f>
        <v>https://www.mapy.cz?st=search&amp;fr=50.54566522 14.05282863</v>
      </c>
      <c r="AC35" s="6">
        <f t="shared" si="6"/>
        <v>88</v>
      </c>
      <c r="AD35" s="6" t="s">
        <v>870</v>
      </c>
      <c r="AE35" s="37"/>
    </row>
    <row r="36" spans="1:31" ht="35.1" customHeight="1" x14ac:dyDescent="0.2">
      <c r="A36" s="47"/>
      <c r="B36" s="46"/>
      <c r="C36" s="48"/>
      <c r="D36" s="49"/>
      <c r="E36" s="45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5"/>
      <c r="S36" s="45"/>
      <c r="T36" s="45"/>
      <c r="U36" s="11" t="s">
        <v>380</v>
      </c>
      <c r="V36" s="12" t="s">
        <v>95</v>
      </c>
      <c r="W36" s="12" t="s">
        <v>46</v>
      </c>
      <c r="X36" s="12" t="s">
        <v>386</v>
      </c>
      <c r="Y36" s="45"/>
      <c r="Z36" s="45"/>
      <c r="AA36" s="45"/>
      <c r="AB36" s="45"/>
      <c r="AC36" s="6">
        <f t="shared" si="6"/>
        <v>0</v>
      </c>
      <c r="AD36" s="6" t="s">
        <v>869</v>
      </c>
      <c r="AE36" s="37"/>
    </row>
    <row r="37" spans="1:31" ht="35.1" customHeight="1" x14ac:dyDescent="0.2">
      <c r="A37" s="26" t="s">
        <v>178</v>
      </c>
      <c r="B37" s="12">
        <v>15294</v>
      </c>
      <c r="C37" s="13" t="s">
        <v>448</v>
      </c>
      <c r="D37" s="14" t="s">
        <v>28</v>
      </c>
      <c r="E37" s="11" t="s">
        <v>29</v>
      </c>
      <c r="F37" s="12" t="s">
        <v>54</v>
      </c>
      <c r="G37" s="12"/>
      <c r="H37" s="12"/>
      <c r="I37" s="12"/>
      <c r="J37" s="12" t="s">
        <v>31</v>
      </c>
      <c r="K37" s="12" t="s">
        <v>76</v>
      </c>
      <c r="L37" s="12" t="s">
        <v>49</v>
      </c>
      <c r="M37" s="12" t="s">
        <v>34</v>
      </c>
      <c r="N37" s="12" t="s">
        <v>45</v>
      </c>
      <c r="O37" s="12" t="s">
        <v>36</v>
      </c>
      <c r="P37" s="12" t="s">
        <v>36</v>
      </c>
      <c r="Q37" s="12" t="s">
        <v>36</v>
      </c>
      <c r="R37" s="11" t="s">
        <v>449</v>
      </c>
      <c r="S37" s="11" t="s">
        <v>180</v>
      </c>
      <c r="T37" s="11" t="s">
        <v>182</v>
      </c>
      <c r="U37" s="11" t="s">
        <v>382</v>
      </c>
      <c r="V37" s="12"/>
      <c r="W37" s="12" t="s">
        <v>46</v>
      </c>
      <c r="X37" s="12"/>
      <c r="Y37" s="11" t="str">
        <f>HYPERLINK("https://www.stromypodkontrolou.cz/map/tree/d41bce85-5010-4276-b929-4760db78c679/a65ac185-4398-4de8-97e9-e4adc173427a")</f>
        <v>https://www.stromypodkontrolou.cz/map/tree/d41bce85-5010-4276-b929-4760db78c679/a65ac185-4398-4de8-97e9-e4adc173427a</v>
      </c>
      <c r="Z37" s="11">
        <v>-761702.66702599998</v>
      </c>
      <c r="AA37" s="11">
        <v>-988907.29908699996</v>
      </c>
      <c r="AB37" s="11" t="str">
        <f>HYPERLINK("https://www.mapy.cz?st=search&amp;fr=50.54563858 14.05312065")</f>
        <v>https://www.mapy.cz?st=search&amp;fr=50.54563858 14.05312065</v>
      </c>
      <c r="AC37" s="6">
        <f t="shared" ref="AC37:AC41" si="7">(J37-K37)*L37</f>
        <v>171</v>
      </c>
      <c r="AD37" s="6" t="s">
        <v>870</v>
      </c>
      <c r="AE37" s="37"/>
    </row>
    <row r="38" spans="1:31" ht="35.1" customHeight="1" x14ac:dyDescent="0.2">
      <c r="A38" s="26" t="s">
        <v>178</v>
      </c>
      <c r="B38" s="12">
        <v>15297</v>
      </c>
      <c r="C38" s="13" t="s">
        <v>450</v>
      </c>
      <c r="D38" s="14" t="s">
        <v>28</v>
      </c>
      <c r="E38" s="11" t="s">
        <v>29</v>
      </c>
      <c r="F38" s="12" t="s">
        <v>78</v>
      </c>
      <c r="G38" s="12"/>
      <c r="H38" s="12"/>
      <c r="I38" s="12"/>
      <c r="J38" s="12" t="s">
        <v>216</v>
      </c>
      <c r="K38" s="12" t="s">
        <v>79</v>
      </c>
      <c r="L38" s="12" t="s">
        <v>48</v>
      </c>
      <c r="M38" s="12" t="s">
        <v>34</v>
      </c>
      <c r="N38" s="12" t="s">
        <v>105</v>
      </c>
      <c r="O38" s="12" t="s">
        <v>36</v>
      </c>
      <c r="P38" s="12" t="s">
        <v>36</v>
      </c>
      <c r="Q38" s="12" t="s">
        <v>36</v>
      </c>
      <c r="R38" s="11"/>
      <c r="S38" s="11" t="s">
        <v>180</v>
      </c>
      <c r="T38" s="11" t="s">
        <v>182</v>
      </c>
      <c r="U38" s="11" t="s">
        <v>382</v>
      </c>
      <c r="V38" s="12" t="s">
        <v>95</v>
      </c>
      <c r="W38" s="12" t="s">
        <v>46</v>
      </c>
      <c r="X38" s="12"/>
      <c r="Y38" s="11" t="str">
        <f>HYPERLINK("https://www.stromypodkontrolou.cz/map/tree/d41bce85-5010-4276-b929-4760db78c679/effdac1e-f75a-4454-be99-7d95ad963e20")</f>
        <v>https://www.stromypodkontrolou.cz/map/tree/d41bce85-5010-4276-b929-4760db78c679/effdac1e-f75a-4454-be99-7d95ad963e20</v>
      </c>
      <c r="Z38" s="11">
        <v>-761691.62902899995</v>
      </c>
      <c r="AA38" s="11">
        <v>-988911.02767800004</v>
      </c>
      <c r="AB38" s="11" t="str">
        <f>HYPERLINK("https://www.mapy.cz?st=search&amp;fr=50.54561941 14.05328225")</f>
        <v>https://www.mapy.cz?st=search&amp;fr=50.54561941 14.05328225</v>
      </c>
      <c r="AC38" s="6">
        <f t="shared" si="7"/>
        <v>210</v>
      </c>
      <c r="AD38" s="6" t="s">
        <v>870</v>
      </c>
      <c r="AE38" s="37"/>
    </row>
    <row r="39" spans="1:31" ht="35.1" customHeight="1" x14ac:dyDescent="0.2">
      <c r="A39" s="26" t="s">
        <v>178</v>
      </c>
      <c r="B39" s="12">
        <v>15298</v>
      </c>
      <c r="C39" s="13" t="s">
        <v>451</v>
      </c>
      <c r="D39" s="14" t="s">
        <v>28</v>
      </c>
      <c r="E39" s="11" t="s">
        <v>29</v>
      </c>
      <c r="F39" s="12" t="s">
        <v>53</v>
      </c>
      <c r="G39" s="12" t="s">
        <v>167</v>
      </c>
      <c r="H39" s="12" t="s">
        <v>108</v>
      </c>
      <c r="I39" s="12"/>
      <c r="J39" s="12" t="s">
        <v>168</v>
      </c>
      <c r="K39" s="12" t="s">
        <v>32</v>
      </c>
      <c r="L39" s="12" t="s">
        <v>47</v>
      </c>
      <c r="M39" s="12" t="s">
        <v>34</v>
      </c>
      <c r="N39" s="12" t="s">
        <v>105</v>
      </c>
      <c r="O39" s="12" t="s">
        <v>36</v>
      </c>
      <c r="P39" s="12" t="s">
        <v>36</v>
      </c>
      <c r="Q39" s="12" t="s">
        <v>36</v>
      </c>
      <c r="R39" s="11" t="s">
        <v>452</v>
      </c>
      <c r="S39" s="11" t="s">
        <v>180</v>
      </c>
      <c r="T39" s="11" t="s">
        <v>181</v>
      </c>
      <c r="U39" s="11" t="s">
        <v>382</v>
      </c>
      <c r="V39" s="12" t="s">
        <v>95</v>
      </c>
      <c r="W39" s="12" t="s">
        <v>46</v>
      </c>
      <c r="X39" s="12"/>
      <c r="Y39" s="11" t="str">
        <f>HYPERLINK("https://www.stromypodkontrolou.cz/map/tree/d41bce85-5010-4276-b929-4760db78c679/e9cbffa0-55b0-4c40-9509-9c8cd9b2f313")</f>
        <v>https://www.stromypodkontrolou.cz/map/tree/d41bce85-5010-4276-b929-4760db78c679/e9cbffa0-55b0-4c40-9509-9c8cd9b2f313</v>
      </c>
      <c r="Z39" s="11">
        <v>-761691.23537500005</v>
      </c>
      <c r="AA39" s="11">
        <v>-988911.80197000003</v>
      </c>
      <c r="AB39" s="11" t="str">
        <f>HYPERLINK("https://www.mapy.cz?st=search&amp;fr=50.54561302 14.05328930")</f>
        <v>https://www.mapy.cz?st=search&amp;fr=50.54561302 14.05328930</v>
      </c>
      <c r="AC39" s="6">
        <f t="shared" si="7"/>
        <v>240</v>
      </c>
      <c r="AD39" s="6" t="s">
        <v>870</v>
      </c>
      <c r="AE39" s="37"/>
    </row>
    <row r="40" spans="1:31" ht="35.1" customHeight="1" x14ac:dyDescent="0.2">
      <c r="A40" s="26" t="s">
        <v>178</v>
      </c>
      <c r="B40" s="12">
        <v>15299</v>
      </c>
      <c r="C40" s="13" t="s">
        <v>453</v>
      </c>
      <c r="D40" s="14" t="s">
        <v>28</v>
      </c>
      <c r="E40" s="11" t="s">
        <v>29</v>
      </c>
      <c r="F40" s="12" t="s">
        <v>53</v>
      </c>
      <c r="G40" s="12" t="s">
        <v>53</v>
      </c>
      <c r="H40" s="12" t="s">
        <v>71</v>
      </c>
      <c r="I40" s="12"/>
      <c r="J40" s="12" t="s">
        <v>143</v>
      </c>
      <c r="K40" s="12" t="s">
        <v>61</v>
      </c>
      <c r="L40" s="12" t="s">
        <v>104</v>
      </c>
      <c r="M40" s="12" t="s">
        <v>34</v>
      </c>
      <c r="N40" s="12" t="s">
        <v>105</v>
      </c>
      <c r="O40" s="12" t="s">
        <v>36</v>
      </c>
      <c r="P40" s="12" t="s">
        <v>36</v>
      </c>
      <c r="Q40" s="12" t="s">
        <v>36</v>
      </c>
      <c r="R40" s="11" t="s">
        <v>155</v>
      </c>
      <c r="S40" s="11" t="s">
        <v>180</v>
      </c>
      <c r="T40" s="11" t="s">
        <v>181</v>
      </c>
      <c r="U40" s="11" t="s">
        <v>382</v>
      </c>
      <c r="V40" s="12" t="s">
        <v>95</v>
      </c>
      <c r="W40" s="12" t="s">
        <v>46</v>
      </c>
      <c r="X40" s="12"/>
      <c r="Y40" s="11" t="str">
        <f>HYPERLINK("https://www.stromypodkontrolou.cz/map/tree/d41bce85-5010-4276-b929-4760db78c679/dfc8a980-e43b-498d-ad41-6c90cfb10ef1")</f>
        <v>https://www.stromypodkontrolou.cz/map/tree/d41bce85-5010-4276-b929-4760db78c679/dfc8a980-e43b-498d-ad41-6c90cfb10ef1</v>
      </c>
      <c r="Z40" s="11">
        <v>-761687.98189699999</v>
      </c>
      <c r="AA40" s="11">
        <v>-988912.72077500005</v>
      </c>
      <c r="AB40" s="11" t="str">
        <f>HYPERLINK("https://www.mapy.cz?st=search&amp;fr=50.54560897 14.05333657")</f>
        <v>https://www.mapy.cz?st=search&amp;fr=50.54560897 14.05333657</v>
      </c>
      <c r="AC40" s="6">
        <f t="shared" si="7"/>
        <v>231</v>
      </c>
      <c r="AD40" s="6" t="s">
        <v>870</v>
      </c>
      <c r="AE40" s="37"/>
    </row>
    <row r="41" spans="1:31" ht="35.1" customHeight="1" x14ac:dyDescent="0.2">
      <c r="A41" s="26" t="s">
        <v>178</v>
      </c>
      <c r="B41" s="12">
        <v>15300</v>
      </c>
      <c r="C41" s="13" t="s">
        <v>454</v>
      </c>
      <c r="D41" s="14" t="s">
        <v>28</v>
      </c>
      <c r="E41" s="11" t="s">
        <v>29</v>
      </c>
      <c r="F41" s="12" t="s">
        <v>228</v>
      </c>
      <c r="G41" s="12"/>
      <c r="H41" s="12"/>
      <c r="I41" s="12"/>
      <c r="J41" s="12" t="s">
        <v>79</v>
      </c>
      <c r="K41" s="12" t="s">
        <v>43</v>
      </c>
      <c r="L41" s="12" t="s">
        <v>49</v>
      </c>
      <c r="M41" s="12" t="s">
        <v>34</v>
      </c>
      <c r="N41" s="12" t="s">
        <v>105</v>
      </c>
      <c r="O41" s="12" t="s">
        <v>36</v>
      </c>
      <c r="P41" s="12" t="s">
        <v>36</v>
      </c>
      <c r="Q41" s="12" t="s">
        <v>36</v>
      </c>
      <c r="R41" s="11" t="s">
        <v>244</v>
      </c>
      <c r="S41" s="11" t="s">
        <v>180</v>
      </c>
      <c r="T41" s="11" t="s">
        <v>182</v>
      </c>
      <c r="U41" s="11" t="s">
        <v>380</v>
      </c>
      <c r="V41" s="12" t="s">
        <v>95</v>
      </c>
      <c r="W41" s="12" t="s">
        <v>46</v>
      </c>
      <c r="X41" s="12" t="s">
        <v>439</v>
      </c>
      <c r="Y41" s="11" t="str">
        <f>HYPERLINK("https://www.stromypodkontrolou.cz/map/tree/d41bce85-5010-4276-b929-4760db78c679/5eca3fc4-91ca-4eb1-9078-ce2cc5a91f28")</f>
        <v>https://www.stromypodkontrolou.cz/map/tree/d41bce85-5010-4276-b929-4760db78c679/5eca3fc4-91ca-4eb1-9078-ce2cc5a91f28</v>
      </c>
      <c r="Z41" s="11">
        <v>-761686.20444100001</v>
      </c>
      <c r="AA41" s="11">
        <v>-988912.37579399999</v>
      </c>
      <c r="AB41" s="11" t="str">
        <f>HYPERLINK("https://www.mapy.cz?st=search&amp;fr=50.54561430 14.05336071")</f>
        <v>https://www.mapy.cz?st=search&amp;fr=50.54561430 14.05336071</v>
      </c>
      <c r="AC41" s="6">
        <f t="shared" si="7"/>
        <v>99</v>
      </c>
      <c r="AD41" s="6" t="s">
        <v>869</v>
      </c>
      <c r="AE41" s="37"/>
    </row>
    <row r="42" spans="1:31" ht="35.1" customHeight="1" x14ac:dyDescent="0.2">
      <c r="A42" s="47" t="s">
        <v>178</v>
      </c>
      <c r="B42" s="46">
        <v>15302</v>
      </c>
      <c r="C42" s="48" t="s">
        <v>455</v>
      </c>
      <c r="D42" s="49" t="s">
        <v>28</v>
      </c>
      <c r="E42" s="45" t="s">
        <v>29</v>
      </c>
      <c r="F42" s="46" t="s">
        <v>131</v>
      </c>
      <c r="G42" s="46" t="s">
        <v>74</v>
      </c>
      <c r="H42" s="46" t="s">
        <v>85</v>
      </c>
      <c r="I42" s="46"/>
      <c r="J42" s="46" t="s">
        <v>66</v>
      </c>
      <c r="K42" s="46" t="s">
        <v>61</v>
      </c>
      <c r="L42" s="46" t="s">
        <v>49</v>
      </c>
      <c r="M42" s="46" t="s">
        <v>37</v>
      </c>
      <c r="N42" s="46" t="s">
        <v>105</v>
      </c>
      <c r="O42" s="46" t="s">
        <v>36</v>
      </c>
      <c r="P42" s="46" t="s">
        <v>36</v>
      </c>
      <c r="Q42" s="46" t="s">
        <v>36</v>
      </c>
      <c r="R42" s="45" t="s">
        <v>155</v>
      </c>
      <c r="S42" s="45" t="s">
        <v>180</v>
      </c>
      <c r="T42" s="45" t="s">
        <v>182</v>
      </c>
      <c r="U42" s="11" t="s">
        <v>382</v>
      </c>
      <c r="V42" s="12" t="s">
        <v>95</v>
      </c>
      <c r="W42" s="12" t="s">
        <v>46</v>
      </c>
      <c r="X42" s="12"/>
      <c r="Y42" s="45" t="str">
        <f>HYPERLINK("https://www.stromypodkontrolou.cz/map/tree/d41bce85-5010-4276-b929-4760db78c679/80f93880-d474-407e-a19b-377c4da7f663")</f>
        <v>https://www.stromypodkontrolou.cz/map/tree/d41bce85-5010-4276-b929-4760db78c679/80f93880-d474-407e-a19b-377c4da7f663</v>
      </c>
      <c r="Z42" s="45">
        <v>-761652.74226500001</v>
      </c>
      <c r="AA42" s="45">
        <v>-988926.67515999998</v>
      </c>
      <c r="AB42" s="45" t="str">
        <f>HYPERLINK("https://www.mapy.cz?st=search&amp;fr=50.54552950 14.05385658")</f>
        <v>https://www.mapy.cz?st=search&amp;fr=50.54552950 14.05385658</v>
      </c>
      <c r="AC42" s="6">
        <f t="shared" ref="AC42:AC43" si="8">(J42-K42)*L42</f>
        <v>117</v>
      </c>
      <c r="AD42" s="6" t="s">
        <v>870</v>
      </c>
      <c r="AE42" s="37"/>
    </row>
    <row r="43" spans="1:31" ht="35.1" customHeight="1" x14ac:dyDescent="0.2">
      <c r="A43" s="47"/>
      <c r="B43" s="46"/>
      <c r="C43" s="48"/>
      <c r="D43" s="49"/>
      <c r="E43" s="45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5"/>
      <c r="S43" s="45"/>
      <c r="T43" s="45"/>
      <c r="U43" s="11" t="s">
        <v>380</v>
      </c>
      <c r="V43" s="12" t="s">
        <v>95</v>
      </c>
      <c r="W43" s="12" t="s">
        <v>46</v>
      </c>
      <c r="X43" s="12" t="s">
        <v>381</v>
      </c>
      <c r="Y43" s="45"/>
      <c r="Z43" s="45"/>
      <c r="AA43" s="45"/>
      <c r="AB43" s="45"/>
      <c r="AC43" s="6">
        <f t="shared" si="8"/>
        <v>0</v>
      </c>
      <c r="AD43" s="6" t="s">
        <v>869</v>
      </c>
      <c r="AE43" s="37"/>
    </row>
    <row r="44" spans="1:31" ht="35.1" customHeight="1" x14ac:dyDescent="0.2">
      <c r="A44" s="26" t="s">
        <v>178</v>
      </c>
      <c r="B44" s="12">
        <v>15338</v>
      </c>
      <c r="C44" s="13" t="s">
        <v>456</v>
      </c>
      <c r="D44" s="14" t="s">
        <v>28</v>
      </c>
      <c r="E44" s="11" t="s">
        <v>29</v>
      </c>
      <c r="F44" s="12" t="s">
        <v>179</v>
      </c>
      <c r="G44" s="12"/>
      <c r="H44" s="12"/>
      <c r="I44" s="12"/>
      <c r="J44" s="12" t="s">
        <v>56</v>
      </c>
      <c r="K44" s="12" t="s">
        <v>32</v>
      </c>
      <c r="L44" s="12" t="s">
        <v>50</v>
      </c>
      <c r="M44" s="12" t="s">
        <v>37</v>
      </c>
      <c r="N44" s="12" t="s">
        <v>105</v>
      </c>
      <c r="O44" s="12" t="s">
        <v>36</v>
      </c>
      <c r="P44" s="12" t="s">
        <v>36</v>
      </c>
      <c r="Q44" s="12" t="s">
        <v>36</v>
      </c>
      <c r="R44" s="11"/>
      <c r="S44" s="11" t="s">
        <v>180</v>
      </c>
      <c r="T44" s="11" t="s">
        <v>182</v>
      </c>
      <c r="U44" s="11" t="s">
        <v>382</v>
      </c>
      <c r="V44" s="12" t="s">
        <v>95</v>
      </c>
      <c r="W44" s="12" t="s">
        <v>46</v>
      </c>
      <c r="X44" s="12"/>
      <c r="Y44" s="11" t="str">
        <f>HYPERLINK("https://www.stromypodkontrolou.cz/map/tree/d41bce85-5010-4276-b929-4760db78c679/8e10f72c-9a1b-47b9-8c4c-a7414f2b65f3")</f>
        <v>https://www.stromypodkontrolou.cz/map/tree/d41bce85-5010-4276-b929-4760db78c679/8e10f72c-9a1b-47b9-8c4c-a7414f2b65f3</v>
      </c>
      <c r="Z44" s="11">
        <v>-761518.976516</v>
      </c>
      <c r="AA44" s="11">
        <v>-988983.11651700002</v>
      </c>
      <c r="AB44" s="11" t="str">
        <f>HYPERLINK("https://www.mapy.cz?st=search&amp;fr=50.54519692 14.05583739")</f>
        <v>https://www.mapy.cz?st=search&amp;fr=50.54519692 14.05583739</v>
      </c>
      <c r="AC44" s="6">
        <f t="shared" ref="AC44:AC45" si="9">(J44-K44)*L44</f>
        <v>98</v>
      </c>
      <c r="AD44" s="6" t="s">
        <v>870</v>
      </c>
      <c r="AE44" s="37"/>
    </row>
    <row r="45" spans="1:31" ht="35.1" customHeight="1" x14ac:dyDescent="0.2">
      <c r="A45" s="26" t="s">
        <v>178</v>
      </c>
      <c r="B45" s="12">
        <v>15339</v>
      </c>
      <c r="C45" s="13" t="s">
        <v>457</v>
      </c>
      <c r="D45" s="14" t="s">
        <v>28</v>
      </c>
      <c r="E45" s="11" t="s">
        <v>29</v>
      </c>
      <c r="F45" s="12" t="s">
        <v>70</v>
      </c>
      <c r="G45" s="12" t="s">
        <v>111</v>
      </c>
      <c r="H45" s="12" t="s">
        <v>85</v>
      </c>
      <c r="I45" s="12"/>
      <c r="J45" s="12" t="s">
        <v>112</v>
      </c>
      <c r="K45" s="12" t="s">
        <v>43</v>
      </c>
      <c r="L45" s="12" t="s">
        <v>44</v>
      </c>
      <c r="M45" s="12" t="s">
        <v>37</v>
      </c>
      <c r="N45" s="12" t="s">
        <v>45</v>
      </c>
      <c r="O45" s="12" t="s">
        <v>37</v>
      </c>
      <c r="P45" s="12" t="s">
        <v>36</v>
      </c>
      <c r="Q45" s="12" t="s">
        <v>37</v>
      </c>
      <c r="R45" s="11" t="s">
        <v>458</v>
      </c>
      <c r="S45" s="11" t="s">
        <v>180</v>
      </c>
      <c r="T45" s="11" t="s">
        <v>182</v>
      </c>
      <c r="U45" s="11" t="s">
        <v>382</v>
      </c>
      <c r="V45" s="12" t="s">
        <v>95</v>
      </c>
      <c r="W45" s="12" t="s">
        <v>46</v>
      </c>
      <c r="X45" s="12"/>
      <c r="Y45" s="11" t="str">
        <f>HYPERLINK("https://www.stromypodkontrolou.cz/map/tree/d41bce85-5010-4276-b929-4760db78c679/16dec8f6-2754-48b0-a566-10ae51d309ae")</f>
        <v>https://www.stromypodkontrolou.cz/map/tree/d41bce85-5010-4276-b929-4760db78c679/16dec8f6-2754-48b0-a566-10ae51d309ae</v>
      </c>
      <c r="Z45" s="11">
        <v>-761517.10418100003</v>
      </c>
      <c r="AA45" s="11">
        <v>-988983.95798800001</v>
      </c>
      <c r="AB45" s="11" t="str">
        <f>HYPERLINK("https://www.mapy.cz?st=search&amp;fr=50.54519180 14.05586522")</f>
        <v>https://www.mapy.cz?st=search&amp;fr=50.54519180 14.05586522</v>
      </c>
      <c r="AC45" s="6">
        <f t="shared" si="9"/>
        <v>72</v>
      </c>
      <c r="AD45" s="6" t="s">
        <v>870</v>
      </c>
      <c r="AE45" s="37"/>
    </row>
    <row r="46" spans="1:31" ht="36.75" customHeight="1" x14ac:dyDescent="0.2">
      <c r="A46" s="47" t="s">
        <v>178</v>
      </c>
      <c r="B46" s="46">
        <v>15349</v>
      </c>
      <c r="C46" s="48" t="s">
        <v>459</v>
      </c>
      <c r="D46" s="49" t="s">
        <v>28</v>
      </c>
      <c r="E46" s="45" t="s">
        <v>29</v>
      </c>
      <c r="F46" s="46" t="s">
        <v>167</v>
      </c>
      <c r="G46" s="46" t="s">
        <v>106</v>
      </c>
      <c r="H46" s="46" t="s">
        <v>85</v>
      </c>
      <c r="I46" s="46" t="s">
        <v>47</v>
      </c>
      <c r="J46" s="46" t="s">
        <v>56</v>
      </c>
      <c r="K46" s="46" t="s">
        <v>103</v>
      </c>
      <c r="L46" s="46" t="s">
        <v>48</v>
      </c>
      <c r="M46" s="46" t="s">
        <v>34</v>
      </c>
      <c r="N46" s="46" t="s">
        <v>105</v>
      </c>
      <c r="O46" s="46" t="s">
        <v>46</v>
      </c>
      <c r="P46" s="46" t="s">
        <v>36</v>
      </c>
      <c r="Q46" s="46" t="s">
        <v>37</v>
      </c>
      <c r="R46" s="45" t="s">
        <v>107</v>
      </c>
      <c r="S46" s="45" t="s">
        <v>180</v>
      </c>
      <c r="T46" s="45" t="s">
        <v>182</v>
      </c>
      <c r="U46" s="11" t="s">
        <v>382</v>
      </c>
      <c r="V46" s="12" t="s">
        <v>95</v>
      </c>
      <c r="W46" s="12" t="s">
        <v>46</v>
      </c>
      <c r="X46" s="12"/>
      <c r="Y46" s="45" t="str">
        <f>HYPERLINK("https://www.stromypodkontrolou.cz/map/tree/d41bce85-5010-4276-b929-4760db78c679/429d3e0b-385d-4a29-8ef3-51628e769405")</f>
        <v>https://www.stromypodkontrolou.cz/map/tree/d41bce85-5010-4276-b929-4760db78c679/429d3e0b-385d-4a29-8ef3-51628e769405</v>
      </c>
      <c r="Z46" s="45">
        <v>-761492.29003799998</v>
      </c>
      <c r="AA46" s="45">
        <v>-988994.77309300005</v>
      </c>
      <c r="AB46" s="45" t="str">
        <f>HYPERLINK("https://www.mapy.cz?st=search&amp;fr=50.54512703 14.05623335")</f>
        <v>https://www.mapy.cz?st=search&amp;fr=50.54512703 14.05623335</v>
      </c>
      <c r="AC46" s="6">
        <f t="shared" ref="AC46:AC47" si="10">(J46-K46)*L46</f>
        <v>150</v>
      </c>
      <c r="AD46" s="6" t="s">
        <v>870</v>
      </c>
      <c r="AE46" s="37"/>
    </row>
    <row r="47" spans="1:31" ht="36.75" customHeight="1" x14ac:dyDescent="0.2">
      <c r="A47" s="47"/>
      <c r="B47" s="46"/>
      <c r="C47" s="48"/>
      <c r="D47" s="49"/>
      <c r="E47" s="45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5"/>
      <c r="S47" s="45"/>
      <c r="T47" s="45"/>
      <c r="U47" s="11" t="s">
        <v>380</v>
      </c>
      <c r="V47" s="12" t="s">
        <v>95</v>
      </c>
      <c r="W47" s="12" t="s">
        <v>46</v>
      </c>
      <c r="X47" s="12" t="s">
        <v>439</v>
      </c>
      <c r="Y47" s="45"/>
      <c r="Z47" s="45"/>
      <c r="AA47" s="45"/>
      <c r="AB47" s="45"/>
      <c r="AC47" s="6">
        <f t="shared" si="10"/>
        <v>0</v>
      </c>
      <c r="AD47" s="6" t="s">
        <v>869</v>
      </c>
      <c r="AE47" s="37"/>
    </row>
    <row r="48" spans="1:31" ht="35.1" customHeight="1" x14ac:dyDescent="0.2">
      <c r="A48" s="26" t="s">
        <v>178</v>
      </c>
      <c r="B48" s="12">
        <v>15355</v>
      </c>
      <c r="C48" s="13" t="s">
        <v>460</v>
      </c>
      <c r="D48" s="14" t="s">
        <v>28</v>
      </c>
      <c r="E48" s="11" t="s">
        <v>29</v>
      </c>
      <c r="F48" s="12" t="s">
        <v>70</v>
      </c>
      <c r="G48" s="12" t="s">
        <v>119</v>
      </c>
      <c r="H48" s="12"/>
      <c r="I48" s="12"/>
      <c r="J48" s="12" t="s">
        <v>72</v>
      </c>
      <c r="K48" s="12" t="s">
        <v>61</v>
      </c>
      <c r="L48" s="12" t="s">
        <v>50</v>
      </c>
      <c r="M48" s="12" t="s">
        <v>37</v>
      </c>
      <c r="N48" s="12" t="s">
        <v>45</v>
      </c>
      <c r="O48" s="12" t="s">
        <v>36</v>
      </c>
      <c r="P48" s="12" t="s">
        <v>36</v>
      </c>
      <c r="Q48" s="12" t="s">
        <v>36</v>
      </c>
      <c r="R48" s="11"/>
      <c r="S48" s="11" t="s">
        <v>180</v>
      </c>
      <c r="T48" s="11" t="s">
        <v>182</v>
      </c>
      <c r="U48" s="11" t="s">
        <v>380</v>
      </c>
      <c r="V48" s="12" t="s">
        <v>95</v>
      </c>
      <c r="W48" s="12" t="s">
        <v>46</v>
      </c>
      <c r="X48" s="12" t="s">
        <v>386</v>
      </c>
      <c r="Y48" s="11" t="str">
        <f>HYPERLINK("https://www.stromypodkontrolou.cz/map/tree/d41bce85-5010-4276-b929-4760db78c679/964d577f-fb2a-4e24-aec8-7615b562800b")</f>
        <v>https://www.stromypodkontrolou.cz/map/tree/d41bce85-5010-4276-b929-4760db78c679/964d577f-fb2a-4e24-aec8-7615b562800b</v>
      </c>
      <c r="Z48" s="11">
        <v>-761473.10533499997</v>
      </c>
      <c r="AA48" s="11">
        <v>-989004.498257</v>
      </c>
      <c r="AB48" s="11" t="str">
        <f>HYPERLINK("https://www.mapy.cz?st=search&amp;fr=50.54506482 14.05652069")</f>
        <v>https://www.mapy.cz?st=search&amp;fr=50.54506482 14.05652069</v>
      </c>
      <c r="AC48" s="6">
        <f>(J48-K48)*L48</f>
        <v>105</v>
      </c>
      <c r="AD48" s="6" t="s">
        <v>869</v>
      </c>
      <c r="AE48" s="37"/>
    </row>
    <row r="49" spans="1:31" ht="35.1" customHeight="1" x14ac:dyDescent="0.2">
      <c r="A49" s="47" t="s">
        <v>178</v>
      </c>
      <c r="B49" s="46">
        <v>15359</v>
      </c>
      <c r="C49" s="48" t="s">
        <v>461</v>
      </c>
      <c r="D49" s="49" t="s">
        <v>28</v>
      </c>
      <c r="E49" s="45" t="s">
        <v>29</v>
      </c>
      <c r="F49" s="46" t="s">
        <v>64</v>
      </c>
      <c r="G49" s="46" t="s">
        <v>119</v>
      </c>
      <c r="H49" s="46"/>
      <c r="I49" s="46"/>
      <c r="J49" s="46" t="s">
        <v>75</v>
      </c>
      <c r="K49" s="46" t="s">
        <v>103</v>
      </c>
      <c r="L49" s="46" t="s">
        <v>50</v>
      </c>
      <c r="M49" s="46" t="s">
        <v>37</v>
      </c>
      <c r="N49" s="46" t="s">
        <v>105</v>
      </c>
      <c r="O49" s="46" t="s">
        <v>36</v>
      </c>
      <c r="P49" s="46" t="s">
        <v>36</v>
      </c>
      <c r="Q49" s="46" t="s">
        <v>36</v>
      </c>
      <c r="R49" s="45"/>
      <c r="S49" s="45" t="s">
        <v>180</v>
      </c>
      <c r="T49" s="45" t="s">
        <v>182</v>
      </c>
      <c r="U49" s="11" t="s">
        <v>380</v>
      </c>
      <c r="V49" s="12" t="s">
        <v>95</v>
      </c>
      <c r="W49" s="12" t="s">
        <v>46</v>
      </c>
      <c r="X49" s="12" t="s">
        <v>386</v>
      </c>
      <c r="Y49" s="45" t="str">
        <f>HYPERLINK("https://www.stromypodkontrolou.cz/map/tree/d41bce85-5010-4276-b929-4760db78c679/457bea1e-fa25-4498-9c5e-b53ed87f0301")</f>
        <v>https://www.stromypodkontrolou.cz/map/tree/d41bce85-5010-4276-b929-4760db78c679/457bea1e-fa25-4498-9c5e-b53ed87f0301</v>
      </c>
      <c r="Z49" s="45">
        <v>-761466.03628100001</v>
      </c>
      <c r="AA49" s="45">
        <v>-989007.44507599995</v>
      </c>
      <c r="AB49" s="45" t="str">
        <f>HYPERLINK("https://www.mapy.cz?st=search&amp;fr=50.54504756 14.05662529")</f>
        <v>https://www.mapy.cz?st=search&amp;fr=50.54504756 14.05662529</v>
      </c>
      <c r="AC49" s="6">
        <f t="shared" ref="AC49:AC52" si="11">(J49-K49)*L49</f>
        <v>91</v>
      </c>
      <c r="AD49" s="6" t="s">
        <v>869</v>
      </c>
      <c r="AE49" s="37"/>
    </row>
    <row r="50" spans="1:31" ht="35.1" customHeight="1" x14ac:dyDescent="0.2">
      <c r="A50" s="47"/>
      <c r="B50" s="46"/>
      <c r="C50" s="48"/>
      <c r="D50" s="49"/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5"/>
      <c r="S50" s="45"/>
      <c r="T50" s="45"/>
      <c r="U50" s="11" t="s">
        <v>382</v>
      </c>
      <c r="V50" s="12" t="s">
        <v>95</v>
      </c>
      <c r="W50" s="12" t="s">
        <v>46</v>
      </c>
      <c r="X50" s="12"/>
      <c r="Y50" s="45"/>
      <c r="Z50" s="45"/>
      <c r="AA50" s="45"/>
      <c r="AB50" s="45"/>
      <c r="AC50" s="6">
        <f t="shared" si="11"/>
        <v>0</v>
      </c>
      <c r="AD50" s="6" t="s">
        <v>870</v>
      </c>
      <c r="AE50" s="37"/>
    </row>
    <row r="51" spans="1:31" ht="35.1" customHeight="1" x14ac:dyDescent="0.2">
      <c r="A51" s="26" t="s">
        <v>178</v>
      </c>
      <c r="B51" s="12">
        <v>15362</v>
      </c>
      <c r="C51" s="13" t="s">
        <v>462</v>
      </c>
      <c r="D51" s="14" t="s">
        <v>28</v>
      </c>
      <c r="E51" s="11" t="s">
        <v>29</v>
      </c>
      <c r="F51" s="12" t="s">
        <v>123</v>
      </c>
      <c r="G51" s="12" t="s">
        <v>93</v>
      </c>
      <c r="H51" s="12" t="s">
        <v>88</v>
      </c>
      <c r="I51" s="12" t="s">
        <v>41</v>
      </c>
      <c r="J51" s="12" t="s">
        <v>72</v>
      </c>
      <c r="K51" s="12" t="s">
        <v>43</v>
      </c>
      <c r="L51" s="12" t="s">
        <v>48</v>
      </c>
      <c r="M51" s="12" t="s">
        <v>37</v>
      </c>
      <c r="N51" s="12" t="s">
        <v>105</v>
      </c>
      <c r="O51" s="12" t="s">
        <v>36</v>
      </c>
      <c r="P51" s="12" t="s">
        <v>36</v>
      </c>
      <c r="Q51" s="12" t="s">
        <v>36</v>
      </c>
      <c r="R51" s="11" t="s">
        <v>171</v>
      </c>
      <c r="S51" s="11" t="s">
        <v>180</v>
      </c>
      <c r="T51" s="11" t="s">
        <v>182</v>
      </c>
      <c r="U51" s="11" t="s">
        <v>380</v>
      </c>
      <c r="V51" s="12" t="s">
        <v>95</v>
      </c>
      <c r="W51" s="12" t="s">
        <v>46</v>
      </c>
      <c r="X51" s="12" t="s">
        <v>386</v>
      </c>
      <c r="Y51" s="11" t="str">
        <f>HYPERLINK("https://www.stromypodkontrolou.cz/map/tree/d41bce85-5010-4276-b929-4760db78c679/004995aa-7106-40e5-b826-85c4e9cac008")</f>
        <v>https://www.stromypodkontrolou.cz/map/tree/d41bce85-5010-4276-b929-4760db78c679/004995aa-7106-40e5-b826-85c4e9cac008</v>
      </c>
      <c r="Z51" s="11">
        <v>-761455.49979300005</v>
      </c>
      <c r="AA51" s="11">
        <v>-989014.524874</v>
      </c>
      <c r="AB51" s="11" t="str">
        <f>HYPERLINK("https://www.mapy.cz?st=search&amp;fr=50.54499792 14.05678656")</f>
        <v>https://www.mapy.cz?st=search&amp;fr=50.54499792 14.05678656</v>
      </c>
      <c r="AC51" s="6">
        <f t="shared" si="11"/>
        <v>160</v>
      </c>
      <c r="AD51" s="6" t="s">
        <v>869</v>
      </c>
      <c r="AE51" s="37"/>
    </row>
    <row r="52" spans="1:31" ht="35.1" customHeight="1" x14ac:dyDescent="0.2">
      <c r="A52" s="26" t="s">
        <v>178</v>
      </c>
      <c r="B52" s="12">
        <v>15366</v>
      </c>
      <c r="C52" s="13" t="s">
        <v>463</v>
      </c>
      <c r="D52" s="14" t="s">
        <v>128</v>
      </c>
      <c r="E52" s="11" t="s">
        <v>129</v>
      </c>
      <c r="F52" s="12" t="s">
        <v>81</v>
      </c>
      <c r="G52" s="12"/>
      <c r="H52" s="12"/>
      <c r="I52" s="12"/>
      <c r="J52" s="12" t="s">
        <v>79</v>
      </c>
      <c r="K52" s="12" t="s">
        <v>43</v>
      </c>
      <c r="L52" s="12" t="s">
        <v>48</v>
      </c>
      <c r="M52" s="12" t="s">
        <v>34</v>
      </c>
      <c r="N52" s="12" t="s">
        <v>45</v>
      </c>
      <c r="O52" s="12" t="s">
        <v>37</v>
      </c>
      <c r="P52" s="12" t="s">
        <v>36</v>
      </c>
      <c r="Q52" s="12" t="s">
        <v>36</v>
      </c>
      <c r="R52" s="11" t="s">
        <v>212</v>
      </c>
      <c r="S52" s="11" t="s">
        <v>180</v>
      </c>
      <c r="T52" s="11" t="s">
        <v>182</v>
      </c>
      <c r="U52" s="11" t="s">
        <v>382</v>
      </c>
      <c r="V52" s="12" t="s">
        <v>95</v>
      </c>
      <c r="W52" s="12" t="s">
        <v>46</v>
      </c>
      <c r="X52" s="12"/>
      <c r="Y52" s="11" t="str">
        <f>HYPERLINK("https://www.stromypodkontrolou.cz/map/tree/d41bce85-5010-4276-b929-4760db78c679/19be1e41-2088-4862-85ba-870d6341723f")</f>
        <v>https://www.stromypodkontrolou.cz/map/tree/d41bce85-5010-4276-b929-4760db78c679/19be1e41-2088-4862-85ba-870d6341723f</v>
      </c>
      <c r="Z52" s="11">
        <v>-761440.11218000005</v>
      </c>
      <c r="AA52" s="11">
        <v>-989024.45069800003</v>
      </c>
      <c r="AB52" s="11" t="str">
        <f>HYPERLINK("https://www.mapy.cz?st=search&amp;fr=50.54492910 14.05702125")</f>
        <v>https://www.mapy.cz?st=search&amp;fr=50.54492910 14.05702125</v>
      </c>
      <c r="AC52" s="6">
        <f t="shared" si="11"/>
        <v>110</v>
      </c>
      <c r="AD52" s="6" t="s">
        <v>870</v>
      </c>
      <c r="AE52" s="37"/>
    </row>
    <row r="53" spans="1:31" ht="35.1" customHeight="1" x14ac:dyDescent="0.2">
      <c r="A53" s="26" t="s">
        <v>178</v>
      </c>
      <c r="B53" s="12">
        <v>15372</v>
      </c>
      <c r="C53" s="13" t="s">
        <v>464</v>
      </c>
      <c r="D53" s="14" t="s">
        <v>28</v>
      </c>
      <c r="E53" s="11" t="s">
        <v>29</v>
      </c>
      <c r="F53" s="12" t="s">
        <v>100</v>
      </c>
      <c r="G53" s="12" t="s">
        <v>70</v>
      </c>
      <c r="H53" s="12"/>
      <c r="I53" s="12"/>
      <c r="J53" s="12" t="s">
        <v>66</v>
      </c>
      <c r="K53" s="12" t="s">
        <v>61</v>
      </c>
      <c r="L53" s="12" t="s">
        <v>49</v>
      </c>
      <c r="M53" s="12" t="s">
        <v>37</v>
      </c>
      <c r="N53" s="12" t="s">
        <v>105</v>
      </c>
      <c r="O53" s="12" t="s">
        <v>36</v>
      </c>
      <c r="P53" s="12" t="s">
        <v>36</v>
      </c>
      <c r="Q53" s="12" t="s">
        <v>36</v>
      </c>
      <c r="R53" s="11" t="s">
        <v>155</v>
      </c>
      <c r="S53" s="11" t="s">
        <v>180</v>
      </c>
      <c r="T53" s="11" t="s">
        <v>182</v>
      </c>
      <c r="U53" s="11" t="s">
        <v>380</v>
      </c>
      <c r="V53" s="12" t="s">
        <v>95</v>
      </c>
      <c r="W53" s="12" t="s">
        <v>46</v>
      </c>
      <c r="X53" s="12" t="s">
        <v>465</v>
      </c>
      <c r="Y53" s="11" t="str">
        <f>HYPERLINK("https://www.stromypodkontrolou.cz/map/tree/d41bce85-5010-4276-b929-4760db78c679/011b7893-661a-465d-a9d2-b6cfdce137f9")</f>
        <v>https://www.stromypodkontrolou.cz/map/tree/d41bce85-5010-4276-b929-4760db78c679/011b7893-661a-465d-a9d2-b6cfdce137f9</v>
      </c>
      <c r="Z53" s="11">
        <v>-761428.33913900005</v>
      </c>
      <c r="AA53" s="11">
        <v>-989031.27583099995</v>
      </c>
      <c r="AB53" s="11" t="str">
        <f>HYPERLINK("https://www.mapy.cz?st=search&amp;fr=50.54488330 14.05719929")</f>
        <v>https://www.mapy.cz?st=search&amp;fr=50.54488330 14.05719929</v>
      </c>
      <c r="AC53" s="6">
        <f t="shared" ref="AC53:AC54" si="12">(J53-K53)*L53</f>
        <v>117</v>
      </c>
      <c r="AD53" s="6" t="s">
        <v>869</v>
      </c>
      <c r="AE53" s="37"/>
    </row>
    <row r="54" spans="1:31" ht="35.1" customHeight="1" x14ac:dyDescent="0.2">
      <c r="A54" s="26" t="s">
        <v>178</v>
      </c>
      <c r="B54" s="12">
        <v>15375</v>
      </c>
      <c r="C54" s="13" t="s">
        <v>466</v>
      </c>
      <c r="D54" s="14" t="s">
        <v>28</v>
      </c>
      <c r="E54" s="11" t="s">
        <v>29</v>
      </c>
      <c r="F54" s="12" t="s">
        <v>69</v>
      </c>
      <c r="G54" s="12"/>
      <c r="H54" s="12"/>
      <c r="I54" s="12"/>
      <c r="J54" s="12" t="s">
        <v>72</v>
      </c>
      <c r="K54" s="12" t="s">
        <v>113</v>
      </c>
      <c r="L54" s="12" t="s">
        <v>50</v>
      </c>
      <c r="M54" s="12" t="s">
        <v>37</v>
      </c>
      <c r="N54" s="12" t="s">
        <v>105</v>
      </c>
      <c r="O54" s="12" t="s">
        <v>36</v>
      </c>
      <c r="P54" s="12" t="s">
        <v>46</v>
      </c>
      <c r="Q54" s="12" t="s">
        <v>36</v>
      </c>
      <c r="R54" s="11"/>
      <c r="S54" s="11" t="s">
        <v>180</v>
      </c>
      <c r="T54" s="11" t="s">
        <v>182</v>
      </c>
      <c r="U54" s="11" t="s">
        <v>382</v>
      </c>
      <c r="V54" s="12" t="s">
        <v>95</v>
      </c>
      <c r="W54" s="12" t="s">
        <v>46</v>
      </c>
      <c r="X54" s="12"/>
      <c r="Y54" s="11" t="str">
        <f>HYPERLINK("https://www.stromypodkontrolou.cz/map/tree/d41bce85-5010-4276-b929-4760db78c679/f3cf0297-d5d1-43a7-9e47-c445c663a961")</f>
        <v>https://www.stromypodkontrolou.cz/map/tree/d41bce85-5010-4276-b929-4760db78c679/f3cf0297-d5d1-43a7-9e47-c445c663a961</v>
      </c>
      <c r="Z54" s="11">
        <v>-761417.244404</v>
      </c>
      <c r="AA54" s="11">
        <v>-989038.81815900002</v>
      </c>
      <c r="AB54" s="11" t="str">
        <f>HYPERLINK("https://www.mapy.cz?st=search&amp;fr=50.54483024 14.05736927")</f>
        <v>https://www.mapy.cz?st=search&amp;fr=50.54483024 14.05736927</v>
      </c>
      <c r="AC54" s="6">
        <f t="shared" si="12"/>
        <v>84</v>
      </c>
      <c r="AD54" s="6" t="s">
        <v>870</v>
      </c>
      <c r="AE54" s="37"/>
    </row>
    <row r="55" spans="1:31" ht="44.25" customHeight="1" x14ac:dyDescent="0.2">
      <c r="A55" s="47" t="s">
        <v>178</v>
      </c>
      <c r="B55" s="46">
        <v>15385</v>
      </c>
      <c r="C55" s="48" t="s">
        <v>467</v>
      </c>
      <c r="D55" s="49" t="s">
        <v>28</v>
      </c>
      <c r="E55" s="45" t="s">
        <v>29</v>
      </c>
      <c r="F55" s="46" t="s">
        <v>193</v>
      </c>
      <c r="G55" s="46" t="s">
        <v>87</v>
      </c>
      <c r="H55" s="46"/>
      <c r="I55" s="46"/>
      <c r="J55" s="46" t="s">
        <v>143</v>
      </c>
      <c r="K55" s="46" t="s">
        <v>43</v>
      </c>
      <c r="L55" s="46" t="s">
        <v>104</v>
      </c>
      <c r="M55" s="46" t="s">
        <v>34</v>
      </c>
      <c r="N55" s="46" t="s">
        <v>105</v>
      </c>
      <c r="O55" s="46" t="s">
        <v>36</v>
      </c>
      <c r="P55" s="46" t="s">
        <v>36</v>
      </c>
      <c r="Q55" s="46" t="s">
        <v>36</v>
      </c>
      <c r="R55" s="45"/>
      <c r="S55" s="45" t="s">
        <v>180</v>
      </c>
      <c r="T55" s="45" t="s">
        <v>182</v>
      </c>
      <c r="U55" s="11" t="s">
        <v>380</v>
      </c>
      <c r="V55" s="12" t="s">
        <v>95</v>
      </c>
      <c r="W55" s="12" t="s">
        <v>46</v>
      </c>
      <c r="X55" s="12" t="s">
        <v>439</v>
      </c>
      <c r="Y55" s="45" t="str">
        <f>HYPERLINK("https://www.stromypodkontrolou.cz/map/tree/d41bce85-5010-4276-b929-4760db78c679/9f21fdbd-0df9-493f-b783-246199b2beb5")</f>
        <v>https://www.stromypodkontrolou.cz/map/tree/d41bce85-5010-4276-b929-4760db78c679/9f21fdbd-0df9-493f-b783-246199b2beb5</v>
      </c>
      <c r="Z55" s="45">
        <v>-761335.098872</v>
      </c>
      <c r="AA55" s="45">
        <v>-989104.12641799997</v>
      </c>
      <c r="AB55" s="45" t="str">
        <f>HYPERLINK("https://www.mapy.cz?st=search&amp;fr=50.54435320 14.05864667")</f>
        <v>https://www.mapy.cz?st=search&amp;fr=50.54435320 14.05864667</v>
      </c>
      <c r="AC55" s="6">
        <f t="shared" ref="AC55:AC56" si="13">(J55-K55)*L55</f>
        <v>242</v>
      </c>
      <c r="AD55" s="6" t="s">
        <v>871</v>
      </c>
      <c r="AE55" s="37"/>
    </row>
    <row r="56" spans="1:31" ht="44.25" customHeight="1" x14ac:dyDescent="0.2">
      <c r="A56" s="47"/>
      <c r="B56" s="46"/>
      <c r="C56" s="48"/>
      <c r="D56" s="49"/>
      <c r="E56" s="45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5"/>
      <c r="S56" s="45"/>
      <c r="T56" s="45"/>
      <c r="U56" s="11" t="s">
        <v>382</v>
      </c>
      <c r="V56" s="12" t="s">
        <v>95</v>
      </c>
      <c r="W56" s="12" t="s">
        <v>46</v>
      </c>
      <c r="X56" s="12"/>
      <c r="Y56" s="45"/>
      <c r="Z56" s="45"/>
      <c r="AA56" s="45"/>
      <c r="AB56" s="45"/>
      <c r="AC56" s="6">
        <f t="shared" si="13"/>
        <v>0</v>
      </c>
      <c r="AD56" s="6" t="s">
        <v>870</v>
      </c>
      <c r="AE56" s="37"/>
    </row>
    <row r="57" spans="1:31" ht="35.1" customHeight="1" x14ac:dyDescent="0.2">
      <c r="A57" s="26" t="s">
        <v>178</v>
      </c>
      <c r="B57" s="12">
        <v>15390</v>
      </c>
      <c r="C57" s="13" t="s">
        <v>468</v>
      </c>
      <c r="D57" s="14" t="s">
        <v>133</v>
      </c>
      <c r="E57" s="11" t="s">
        <v>134</v>
      </c>
      <c r="F57" s="12" t="s">
        <v>228</v>
      </c>
      <c r="G57" s="12" t="s">
        <v>70</v>
      </c>
      <c r="H57" s="12"/>
      <c r="I57" s="12"/>
      <c r="J57" s="12" t="s">
        <v>90</v>
      </c>
      <c r="K57" s="12" t="s">
        <v>43</v>
      </c>
      <c r="L57" s="12" t="s">
        <v>49</v>
      </c>
      <c r="M57" s="12" t="s">
        <v>37</v>
      </c>
      <c r="N57" s="12" t="s">
        <v>45</v>
      </c>
      <c r="O57" s="12" t="s">
        <v>37</v>
      </c>
      <c r="P57" s="12" t="s">
        <v>36</v>
      </c>
      <c r="Q57" s="12" t="s">
        <v>37</v>
      </c>
      <c r="R57" s="11" t="s">
        <v>212</v>
      </c>
      <c r="S57" s="11" t="s">
        <v>180</v>
      </c>
      <c r="T57" s="11" t="s">
        <v>181</v>
      </c>
      <c r="U57" s="11" t="s">
        <v>382</v>
      </c>
      <c r="V57" s="12" t="s">
        <v>95</v>
      </c>
      <c r="W57" s="12" t="s">
        <v>46</v>
      </c>
      <c r="X57" s="12"/>
      <c r="Y57" s="11" t="str">
        <f>HYPERLINK("https://www.stromypodkontrolou.cz/map/tree/d41bce85-5010-4276-b929-4760db78c679/fdb02c90-3684-4217-abf3-20c74ed69398")</f>
        <v>https://www.stromypodkontrolou.cz/map/tree/d41bce85-5010-4276-b929-4760db78c679/fdb02c90-3684-4217-abf3-20c74ed69398</v>
      </c>
      <c r="Z57" s="11">
        <v>-761313.43432100001</v>
      </c>
      <c r="AA57" s="11">
        <v>-989131.82351699995</v>
      </c>
      <c r="AB57" s="11" t="str">
        <f>HYPERLINK("https://www.mapy.cz?st=search&amp;fr=50.54413417 14.05900441")</f>
        <v>https://www.mapy.cz?st=search&amp;fr=50.54413417 14.05900441</v>
      </c>
      <c r="AC57" s="6">
        <f t="shared" ref="AC57:AC58" si="14">(J57-K57)*L57</f>
        <v>117</v>
      </c>
      <c r="AD57" s="6" t="s">
        <v>870</v>
      </c>
      <c r="AE57" s="37"/>
    </row>
    <row r="58" spans="1:31" ht="35.1" customHeight="1" x14ac:dyDescent="0.2">
      <c r="A58" s="26" t="s">
        <v>178</v>
      </c>
      <c r="B58" s="12">
        <v>15392</v>
      </c>
      <c r="C58" s="13" t="s">
        <v>469</v>
      </c>
      <c r="D58" s="14" t="s">
        <v>128</v>
      </c>
      <c r="E58" s="11" t="s">
        <v>129</v>
      </c>
      <c r="F58" s="12" t="s">
        <v>83</v>
      </c>
      <c r="G58" s="12"/>
      <c r="H58" s="12"/>
      <c r="I58" s="12"/>
      <c r="J58" s="12" t="s">
        <v>51</v>
      </c>
      <c r="K58" s="12" t="s">
        <v>43</v>
      </c>
      <c r="L58" s="12" t="s">
        <v>95</v>
      </c>
      <c r="M58" s="12" t="s">
        <v>37</v>
      </c>
      <c r="N58" s="12" t="s">
        <v>105</v>
      </c>
      <c r="O58" s="12" t="s">
        <v>46</v>
      </c>
      <c r="P58" s="12" t="s">
        <v>46</v>
      </c>
      <c r="Q58" s="12" t="s">
        <v>36</v>
      </c>
      <c r="R58" s="11" t="s">
        <v>114</v>
      </c>
      <c r="S58" s="11" t="s">
        <v>180</v>
      </c>
      <c r="T58" s="11" t="s">
        <v>182</v>
      </c>
      <c r="U58" s="11" t="s">
        <v>378</v>
      </c>
      <c r="V58" s="12" t="s">
        <v>95</v>
      </c>
      <c r="W58" s="12" t="s">
        <v>46</v>
      </c>
      <c r="X58" s="12" t="s">
        <v>379</v>
      </c>
      <c r="Y58" s="11" t="str">
        <f>HYPERLINK("https://www.stromypodkontrolou.cz/map/tree/d41bce85-5010-4276-b929-4760db78c679/425a5d41-f4a6-407a-9626-bda99d0f24d7")</f>
        <v>https://www.stromypodkontrolou.cz/map/tree/d41bce85-5010-4276-b929-4760db78c679/425a5d41-f4a6-407a-9626-bda99d0f24d7</v>
      </c>
      <c r="Z58" s="11">
        <v>-761277.11325000005</v>
      </c>
      <c r="AA58" s="11">
        <v>-989189.23522100004</v>
      </c>
      <c r="AB58" s="11" t="str">
        <f>HYPERLINK("https://www.mapy.cz?st=search&amp;fr=50.54366927 14.05962601")</f>
        <v>https://www.mapy.cz?st=search&amp;fr=50.54366927 14.05962601</v>
      </c>
      <c r="AC58" s="6">
        <f t="shared" si="14"/>
        <v>35</v>
      </c>
      <c r="AD58" s="6" t="s">
        <v>866</v>
      </c>
      <c r="AE58" s="37"/>
    </row>
    <row r="59" spans="1:31" ht="42.75" customHeight="1" x14ac:dyDescent="0.2">
      <c r="A59" s="26" t="s">
        <v>178</v>
      </c>
      <c r="B59" s="12">
        <v>15396</v>
      </c>
      <c r="C59" s="13" t="s">
        <v>470</v>
      </c>
      <c r="D59" s="14" t="s">
        <v>28</v>
      </c>
      <c r="E59" s="11" t="s">
        <v>29</v>
      </c>
      <c r="F59" s="12" t="s">
        <v>65</v>
      </c>
      <c r="G59" s="12" t="s">
        <v>106</v>
      </c>
      <c r="H59" s="12" t="s">
        <v>87</v>
      </c>
      <c r="I59" s="12"/>
      <c r="J59" s="12" t="s">
        <v>75</v>
      </c>
      <c r="K59" s="12" t="s">
        <v>32</v>
      </c>
      <c r="L59" s="12" t="s">
        <v>50</v>
      </c>
      <c r="M59" s="12" t="s">
        <v>37</v>
      </c>
      <c r="N59" s="12" t="s">
        <v>105</v>
      </c>
      <c r="O59" s="12" t="s">
        <v>36</v>
      </c>
      <c r="P59" s="12" t="s">
        <v>36</v>
      </c>
      <c r="Q59" s="12" t="s">
        <v>37</v>
      </c>
      <c r="R59" s="11" t="s">
        <v>171</v>
      </c>
      <c r="S59" s="11" t="s">
        <v>180</v>
      </c>
      <c r="T59" s="11" t="s">
        <v>182</v>
      </c>
      <c r="U59" s="11" t="s">
        <v>380</v>
      </c>
      <c r="V59" s="12" t="s">
        <v>95</v>
      </c>
      <c r="W59" s="12" t="s">
        <v>46</v>
      </c>
      <c r="X59" s="12" t="s">
        <v>439</v>
      </c>
      <c r="Y59" s="11" t="str">
        <f>HYPERLINK("https://www.stromypodkontrolou.cz/map/tree/d41bce85-5010-4276-b929-4760db78c679/fd4480a2-b460-4707-ba09-3feea8a53aaa")</f>
        <v>https://www.stromypodkontrolou.cz/map/tree/d41bce85-5010-4276-b929-4760db78c679/fd4480a2-b460-4707-ba09-3feea8a53aaa</v>
      </c>
      <c r="Z59" s="11">
        <v>-761263.38661699998</v>
      </c>
      <c r="AA59" s="11">
        <v>-989215.70528200001</v>
      </c>
      <c r="AB59" s="11" t="str">
        <f>HYPERLINK("https://www.mapy.cz?st=search&amp;fr=50.54345109 14.05987043")</f>
        <v>https://www.mapy.cz?st=search&amp;fr=50.54345109 14.05987043</v>
      </c>
      <c r="AC59" s="6">
        <f>(J59-K59)*L59</f>
        <v>84</v>
      </c>
      <c r="AD59" s="6" t="s">
        <v>869</v>
      </c>
      <c r="AE59" s="37"/>
    </row>
    <row r="60" spans="1:31" ht="34.5" customHeight="1" x14ac:dyDescent="0.2">
      <c r="A60" s="26" t="s">
        <v>178</v>
      </c>
      <c r="B60" s="12">
        <v>15406</v>
      </c>
      <c r="C60" s="13" t="s">
        <v>471</v>
      </c>
      <c r="D60" s="14" t="s">
        <v>28</v>
      </c>
      <c r="E60" s="11" t="s">
        <v>29</v>
      </c>
      <c r="F60" s="12" t="s">
        <v>193</v>
      </c>
      <c r="G60" s="12" t="s">
        <v>64</v>
      </c>
      <c r="H60" s="12"/>
      <c r="I60" s="12"/>
      <c r="J60" s="12" t="s">
        <v>75</v>
      </c>
      <c r="K60" s="12" t="s">
        <v>43</v>
      </c>
      <c r="L60" s="12" t="s">
        <v>48</v>
      </c>
      <c r="M60" s="12" t="s">
        <v>37</v>
      </c>
      <c r="N60" s="12" t="s">
        <v>105</v>
      </c>
      <c r="O60" s="12" t="s">
        <v>36</v>
      </c>
      <c r="P60" s="12" t="s">
        <v>36</v>
      </c>
      <c r="Q60" s="12" t="s">
        <v>37</v>
      </c>
      <c r="R60" s="11" t="s">
        <v>107</v>
      </c>
      <c r="S60" s="11" t="s">
        <v>180</v>
      </c>
      <c r="T60" s="11" t="s">
        <v>182</v>
      </c>
      <c r="U60" s="11" t="s">
        <v>380</v>
      </c>
      <c r="V60" s="12" t="s">
        <v>95</v>
      </c>
      <c r="W60" s="12" t="s">
        <v>46</v>
      </c>
      <c r="X60" s="12" t="s">
        <v>386</v>
      </c>
      <c r="Y60" s="11" t="str">
        <f>HYPERLINK("https://www.stromypodkontrolou.cz/map/tree/d41bce85-5010-4276-b929-4760db78c679/9d488578-8375-4069-8e59-9a1192877157")</f>
        <v>https://www.stromypodkontrolou.cz/map/tree/d41bce85-5010-4276-b929-4760db78c679/9d488578-8375-4069-8e59-9a1192877157</v>
      </c>
      <c r="Z60" s="11">
        <v>-761247.30903899996</v>
      </c>
      <c r="AA60" s="11">
        <v>-989253.97739799996</v>
      </c>
      <c r="AB60" s="11" t="str">
        <f>HYPERLINK("https://www.mapy.cz?st=search&amp;fr=50.54313085 14.06017117")</f>
        <v>https://www.mapy.cz?st=search&amp;fr=50.54313085 14.06017117</v>
      </c>
      <c r="AC60" s="6">
        <f>(J60-K60)*L60</f>
        <v>150</v>
      </c>
      <c r="AD60" s="6" t="s">
        <v>869</v>
      </c>
      <c r="AE60" s="37"/>
    </row>
    <row r="61" spans="1:31" ht="35.1" customHeight="1" x14ac:dyDescent="0.2">
      <c r="A61" s="26" t="s">
        <v>178</v>
      </c>
      <c r="B61" s="12">
        <v>15414</v>
      </c>
      <c r="C61" s="13" t="s">
        <v>472</v>
      </c>
      <c r="D61" s="14" t="s">
        <v>28</v>
      </c>
      <c r="E61" s="11" t="s">
        <v>29</v>
      </c>
      <c r="F61" s="12" t="s">
        <v>167</v>
      </c>
      <c r="G61" s="12" t="s">
        <v>55</v>
      </c>
      <c r="H61" s="12"/>
      <c r="I61" s="12"/>
      <c r="J61" s="12" t="s">
        <v>191</v>
      </c>
      <c r="K61" s="12" t="s">
        <v>61</v>
      </c>
      <c r="L61" s="12" t="s">
        <v>33</v>
      </c>
      <c r="M61" s="12" t="s">
        <v>37</v>
      </c>
      <c r="N61" s="12" t="s">
        <v>105</v>
      </c>
      <c r="O61" s="12" t="s">
        <v>46</v>
      </c>
      <c r="P61" s="12" t="s">
        <v>37</v>
      </c>
      <c r="Q61" s="12" t="s">
        <v>37</v>
      </c>
      <c r="R61" s="11" t="s">
        <v>171</v>
      </c>
      <c r="S61" s="11" t="s">
        <v>180</v>
      </c>
      <c r="T61" s="11" t="s">
        <v>182</v>
      </c>
      <c r="U61" s="11" t="s">
        <v>380</v>
      </c>
      <c r="V61" s="12" t="s">
        <v>95</v>
      </c>
      <c r="W61" s="12" t="s">
        <v>46</v>
      </c>
      <c r="X61" s="12" t="s">
        <v>473</v>
      </c>
      <c r="Y61" s="11" t="str">
        <f>HYPERLINK("https://www.stromypodkontrolou.cz/map/tree/d41bce85-5010-4276-b929-4760db78c679/143172e7-4138-4096-8758-8bac1cceee09")</f>
        <v>https://www.stromypodkontrolou.cz/map/tree/d41bce85-5010-4276-b929-4760db78c679/143172e7-4138-4096-8758-8bac1cceee09</v>
      </c>
      <c r="Z61" s="11">
        <v>-761228.85051599995</v>
      </c>
      <c r="AA61" s="11">
        <v>-989298.789322</v>
      </c>
      <c r="AB61" s="11" t="str">
        <f>HYPERLINK("https://www.mapy.cz?st=search&amp;fr=50.54275543 14.06051818")</f>
        <v>https://www.mapy.cz?st=search&amp;fr=50.54275543 14.06051818</v>
      </c>
      <c r="AC61" s="6">
        <f>(J61-K61)*L61</f>
        <v>152</v>
      </c>
      <c r="AD61" s="6" t="s">
        <v>869</v>
      </c>
      <c r="AE61" s="37"/>
    </row>
    <row r="62" spans="1:31" ht="35.1" customHeight="1" x14ac:dyDescent="0.2">
      <c r="A62" s="26" t="s">
        <v>178</v>
      </c>
      <c r="B62" s="12">
        <v>15422</v>
      </c>
      <c r="C62" s="13" t="s">
        <v>474</v>
      </c>
      <c r="D62" s="14" t="s">
        <v>128</v>
      </c>
      <c r="E62" s="11" t="s">
        <v>129</v>
      </c>
      <c r="F62" s="12" t="s">
        <v>89</v>
      </c>
      <c r="G62" s="12" t="s">
        <v>41</v>
      </c>
      <c r="H62" s="12" t="s">
        <v>94</v>
      </c>
      <c r="I62" s="12"/>
      <c r="J62" s="12" t="s">
        <v>60</v>
      </c>
      <c r="K62" s="12" t="s">
        <v>43</v>
      </c>
      <c r="L62" s="12" t="s">
        <v>95</v>
      </c>
      <c r="M62" s="12" t="s">
        <v>37</v>
      </c>
      <c r="N62" s="12" t="s">
        <v>105</v>
      </c>
      <c r="O62" s="12" t="s">
        <v>36</v>
      </c>
      <c r="P62" s="12" t="s">
        <v>36</v>
      </c>
      <c r="Q62" s="12" t="s">
        <v>36</v>
      </c>
      <c r="R62" s="11" t="s">
        <v>155</v>
      </c>
      <c r="S62" s="11" t="s">
        <v>180</v>
      </c>
      <c r="T62" s="11" t="s">
        <v>182</v>
      </c>
      <c r="U62" s="11" t="s">
        <v>380</v>
      </c>
      <c r="V62" s="12" t="s">
        <v>95</v>
      </c>
      <c r="W62" s="12" t="s">
        <v>46</v>
      </c>
      <c r="X62" s="12" t="s">
        <v>386</v>
      </c>
      <c r="Y62" s="11" t="str">
        <f>HYPERLINK("https://www.stromypodkontrolou.cz/map/tree/d41bce85-5010-4276-b929-4760db78c679/554d9b4c-101b-496c-b955-9991d7eca0a9")</f>
        <v>https://www.stromypodkontrolou.cz/map/tree/d41bce85-5010-4276-b929-4760db78c679/554d9b4c-101b-496c-b955-9991d7eca0a9</v>
      </c>
      <c r="Z62" s="11">
        <v>-761218.37848700001</v>
      </c>
      <c r="AA62" s="11">
        <v>-989327.04616799997</v>
      </c>
      <c r="AB62" s="11" t="str">
        <f>HYPERLINK("https://www.mapy.cz?st=search&amp;fr=50.54251721 14.06072069")</f>
        <v>https://www.mapy.cz?st=search&amp;fr=50.54251721 14.06072069</v>
      </c>
      <c r="AC62" s="6">
        <f t="shared" ref="AC62:AC68" si="15">(J62-K62)*L62</f>
        <v>50</v>
      </c>
      <c r="AD62" s="6" t="s">
        <v>869</v>
      </c>
      <c r="AE62" s="37"/>
    </row>
    <row r="63" spans="1:31" ht="35.1" customHeight="1" x14ac:dyDescent="0.2">
      <c r="A63" s="47" t="s">
        <v>178</v>
      </c>
      <c r="B63" s="46">
        <v>15423</v>
      </c>
      <c r="C63" s="48" t="s">
        <v>475</v>
      </c>
      <c r="D63" s="49" t="s">
        <v>28</v>
      </c>
      <c r="E63" s="45" t="s">
        <v>29</v>
      </c>
      <c r="F63" s="46" t="s">
        <v>81</v>
      </c>
      <c r="G63" s="46" t="s">
        <v>64</v>
      </c>
      <c r="H63" s="46"/>
      <c r="I63" s="46"/>
      <c r="J63" s="46" t="s">
        <v>90</v>
      </c>
      <c r="K63" s="46" t="s">
        <v>32</v>
      </c>
      <c r="L63" s="46" t="s">
        <v>44</v>
      </c>
      <c r="M63" s="46" t="s">
        <v>37</v>
      </c>
      <c r="N63" s="46" t="s">
        <v>45</v>
      </c>
      <c r="O63" s="46" t="s">
        <v>36</v>
      </c>
      <c r="P63" s="46" t="s">
        <v>37</v>
      </c>
      <c r="Q63" s="46" t="s">
        <v>37</v>
      </c>
      <c r="R63" s="45" t="s">
        <v>158</v>
      </c>
      <c r="S63" s="45" t="s">
        <v>180</v>
      </c>
      <c r="T63" s="45" t="s">
        <v>182</v>
      </c>
      <c r="U63" s="11" t="s">
        <v>382</v>
      </c>
      <c r="V63" s="12" t="s">
        <v>95</v>
      </c>
      <c r="W63" s="12" t="s">
        <v>46</v>
      </c>
      <c r="X63" s="12"/>
      <c r="Y63" s="45" t="str">
        <f>HYPERLINK("https://www.stromypodkontrolou.cz/map/tree/d41bce85-5010-4276-b929-4760db78c679/0eea02ac-8036-4a07-b22c-c40458a1f532")</f>
        <v>https://www.stromypodkontrolou.cz/map/tree/d41bce85-5010-4276-b929-4760db78c679/0eea02ac-8036-4a07-b22c-c40458a1f532</v>
      </c>
      <c r="Z63" s="45">
        <v>-761217.185849</v>
      </c>
      <c r="AA63" s="45">
        <v>-989331.14223400003</v>
      </c>
      <c r="AB63" s="45" t="str">
        <f>HYPERLINK("https://www.mapy.cz?st=search&amp;fr=50.54248227 14.06074550")</f>
        <v>https://www.mapy.cz?st=search&amp;fr=50.54248227 14.06074550</v>
      </c>
      <c r="AC63" s="6">
        <f t="shared" si="15"/>
        <v>60</v>
      </c>
      <c r="AD63" s="6" t="s">
        <v>870</v>
      </c>
      <c r="AE63" s="37"/>
    </row>
    <row r="64" spans="1:31" ht="35.1" customHeight="1" x14ac:dyDescent="0.2">
      <c r="A64" s="47"/>
      <c r="B64" s="46"/>
      <c r="C64" s="48"/>
      <c r="D64" s="49"/>
      <c r="E64" s="45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5"/>
      <c r="S64" s="45"/>
      <c r="T64" s="45"/>
      <c r="U64" s="11" t="s">
        <v>380</v>
      </c>
      <c r="V64" s="12" t="s">
        <v>95</v>
      </c>
      <c r="W64" s="12" t="s">
        <v>46</v>
      </c>
      <c r="X64" s="12" t="s">
        <v>407</v>
      </c>
      <c r="Y64" s="45"/>
      <c r="Z64" s="45"/>
      <c r="AA64" s="45"/>
      <c r="AB64" s="45"/>
      <c r="AC64" s="6">
        <f t="shared" si="15"/>
        <v>0</v>
      </c>
      <c r="AD64" s="6" t="s">
        <v>869</v>
      </c>
      <c r="AE64" s="37"/>
    </row>
    <row r="65" spans="1:31" ht="35.1" customHeight="1" x14ac:dyDescent="0.2">
      <c r="A65" s="47" t="s">
        <v>178</v>
      </c>
      <c r="B65" s="46">
        <v>15425</v>
      </c>
      <c r="C65" s="48" t="s">
        <v>476</v>
      </c>
      <c r="D65" s="49" t="s">
        <v>28</v>
      </c>
      <c r="E65" s="45" t="s">
        <v>29</v>
      </c>
      <c r="F65" s="46" t="s">
        <v>132</v>
      </c>
      <c r="G65" s="46"/>
      <c r="H65" s="46"/>
      <c r="I65" s="46"/>
      <c r="J65" s="46" t="s">
        <v>75</v>
      </c>
      <c r="K65" s="46" t="s">
        <v>32</v>
      </c>
      <c r="L65" s="46" t="s">
        <v>33</v>
      </c>
      <c r="M65" s="46" t="s">
        <v>34</v>
      </c>
      <c r="N65" s="46" t="s">
        <v>105</v>
      </c>
      <c r="O65" s="46" t="s">
        <v>36</v>
      </c>
      <c r="P65" s="46" t="s">
        <v>36</v>
      </c>
      <c r="Q65" s="46" t="s">
        <v>36</v>
      </c>
      <c r="R65" s="45" t="s">
        <v>200</v>
      </c>
      <c r="S65" s="45" t="s">
        <v>180</v>
      </c>
      <c r="T65" s="45" t="s">
        <v>182</v>
      </c>
      <c r="U65" s="11" t="s">
        <v>380</v>
      </c>
      <c r="V65" s="12" t="s">
        <v>95</v>
      </c>
      <c r="W65" s="12" t="s">
        <v>46</v>
      </c>
      <c r="X65" s="12" t="s">
        <v>439</v>
      </c>
      <c r="Y65" s="45" t="str">
        <f>HYPERLINK("https://www.stromypodkontrolou.cz/map/tree/d41bce85-5010-4276-b929-4760db78c679/683bbe8a-81a8-499a-aad2-33e30122e1f5")</f>
        <v>https://www.stromypodkontrolou.cz/map/tree/d41bce85-5010-4276-b929-4760db78c679/683bbe8a-81a8-499a-aad2-33e30122e1f5</v>
      </c>
      <c r="Z65" s="45">
        <v>-761216.37766400003</v>
      </c>
      <c r="AA65" s="45">
        <v>-989333.38803899998</v>
      </c>
      <c r="AB65" s="45" t="str">
        <f>HYPERLINK("https://www.mapy.cz?st=search&amp;fr=50.54246331 14.06076126")</f>
        <v>https://www.mapy.cz?st=search&amp;fr=50.54246331 14.06076126</v>
      </c>
      <c r="AC65" s="6">
        <f t="shared" si="15"/>
        <v>96</v>
      </c>
      <c r="AD65" s="6" t="s">
        <v>869</v>
      </c>
      <c r="AE65" s="37"/>
    </row>
    <row r="66" spans="1:31" ht="35.1" customHeight="1" x14ac:dyDescent="0.2">
      <c r="A66" s="47"/>
      <c r="B66" s="46"/>
      <c r="C66" s="48"/>
      <c r="D66" s="49"/>
      <c r="E66" s="45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5"/>
      <c r="S66" s="45"/>
      <c r="T66" s="45"/>
      <c r="U66" s="11" t="s">
        <v>382</v>
      </c>
      <c r="V66" s="12" t="s">
        <v>95</v>
      </c>
      <c r="W66" s="12" t="s">
        <v>46</v>
      </c>
      <c r="X66" s="12"/>
      <c r="Y66" s="45"/>
      <c r="Z66" s="45"/>
      <c r="AA66" s="45"/>
      <c r="AB66" s="45"/>
      <c r="AC66" s="6">
        <f t="shared" si="15"/>
        <v>0</v>
      </c>
      <c r="AD66" s="6" t="s">
        <v>870</v>
      </c>
      <c r="AE66" s="37"/>
    </row>
    <row r="67" spans="1:31" ht="35.1" customHeight="1" x14ac:dyDescent="0.2">
      <c r="A67" s="47" t="s">
        <v>178</v>
      </c>
      <c r="B67" s="46">
        <v>15426</v>
      </c>
      <c r="C67" s="48" t="s">
        <v>477</v>
      </c>
      <c r="D67" s="49" t="s">
        <v>28</v>
      </c>
      <c r="E67" s="45" t="s">
        <v>29</v>
      </c>
      <c r="F67" s="46" t="s">
        <v>81</v>
      </c>
      <c r="G67" s="46" t="s">
        <v>106</v>
      </c>
      <c r="H67" s="46"/>
      <c r="I67" s="46"/>
      <c r="J67" s="46" t="s">
        <v>72</v>
      </c>
      <c r="K67" s="46" t="s">
        <v>61</v>
      </c>
      <c r="L67" s="46" t="s">
        <v>50</v>
      </c>
      <c r="M67" s="46" t="s">
        <v>37</v>
      </c>
      <c r="N67" s="46" t="s">
        <v>105</v>
      </c>
      <c r="O67" s="46" t="s">
        <v>36</v>
      </c>
      <c r="P67" s="46" t="s">
        <v>36</v>
      </c>
      <c r="Q67" s="46" t="s">
        <v>36</v>
      </c>
      <c r="R67" s="45" t="s">
        <v>171</v>
      </c>
      <c r="S67" s="45" t="s">
        <v>180</v>
      </c>
      <c r="T67" s="45" t="s">
        <v>182</v>
      </c>
      <c r="U67" s="11" t="s">
        <v>380</v>
      </c>
      <c r="V67" s="12" t="s">
        <v>95</v>
      </c>
      <c r="W67" s="12" t="s">
        <v>46</v>
      </c>
      <c r="X67" s="12" t="s">
        <v>381</v>
      </c>
      <c r="Y67" s="45" t="str">
        <f>HYPERLINK("https://www.stromypodkontrolou.cz/map/tree/d41bce85-5010-4276-b929-4760db78c679/d97bc9dc-58f2-4dcb-99d3-647b22dee05c")</f>
        <v>https://www.stromypodkontrolou.cz/map/tree/d41bce85-5010-4276-b929-4760db78c679/d97bc9dc-58f2-4dcb-99d3-647b22dee05c</v>
      </c>
      <c r="Z67" s="45">
        <v>-761214.63369100005</v>
      </c>
      <c r="AA67" s="45">
        <v>-989342.37456200004</v>
      </c>
      <c r="AB67" s="45" t="str">
        <f>HYPERLINK("https://www.mapy.cz?st=search&amp;fr=50.54238554 14.06080350")</f>
        <v>https://www.mapy.cz?st=search&amp;fr=50.54238554 14.06080350</v>
      </c>
      <c r="AC67" s="6">
        <f t="shared" si="15"/>
        <v>105</v>
      </c>
      <c r="AD67" s="6" t="s">
        <v>869</v>
      </c>
      <c r="AE67" s="37"/>
    </row>
    <row r="68" spans="1:31" ht="35.1" customHeight="1" x14ac:dyDescent="0.2">
      <c r="A68" s="47"/>
      <c r="B68" s="46"/>
      <c r="C68" s="48"/>
      <c r="D68" s="49"/>
      <c r="E68" s="45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5"/>
      <c r="S68" s="45"/>
      <c r="T68" s="45"/>
      <c r="U68" s="11" t="s">
        <v>382</v>
      </c>
      <c r="V68" s="12" t="s">
        <v>95</v>
      </c>
      <c r="W68" s="12" t="s">
        <v>46</v>
      </c>
      <c r="X68" s="12"/>
      <c r="Y68" s="45"/>
      <c r="Z68" s="45"/>
      <c r="AA68" s="45"/>
      <c r="AB68" s="45"/>
      <c r="AC68" s="6">
        <f t="shared" si="15"/>
        <v>0</v>
      </c>
      <c r="AD68" s="6" t="s">
        <v>870</v>
      </c>
      <c r="AE68" s="37"/>
    </row>
    <row r="69" spans="1:31" ht="35.1" customHeight="1" x14ac:dyDescent="0.2">
      <c r="A69" s="26" t="s">
        <v>178</v>
      </c>
      <c r="B69" s="12">
        <v>15433</v>
      </c>
      <c r="C69" s="13" t="s">
        <v>478</v>
      </c>
      <c r="D69" s="14" t="s">
        <v>28</v>
      </c>
      <c r="E69" s="11" t="s">
        <v>29</v>
      </c>
      <c r="F69" s="12" t="s">
        <v>82</v>
      </c>
      <c r="G69" s="12" t="s">
        <v>64</v>
      </c>
      <c r="H69" s="12"/>
      <c r="I69" s="12"/>
      <c r="J69" s="12" t="s">
        <v>56</v>
      </c>
      <c r="K69" s="12" t="s">
        <v>61</v>
      </c>
      <c r="L69" s="12" t="s">
        <v>33</v>
      </c>
      <c r="M69" s="12" t="s">
        <v>37</v>
      </c>
      <c r="N69" s="12" t="s">
        <v>45</v>
      </c>
      <c r="O69" s="12" t="s">
        <v>37</v>
      </c>
      <c r="P69" s="12" t="s">
        <v>36</v>
      </c>
      <c r="Q69" s="12" t="s">
        <v>37</v>
      </c>
      <c r="R69" s="11" t="s">
        <v>479</v>
      </c>
      <c r="S69" s="11" t="s">
        <v>180</v>
      </c>
      <c r="T69" s="11" t="s">
        <v>182</v>
      </c>
      <c r="U69" s="11" t="s">
        <v>382</v>
      </c>
      <c r="V69" s="12" t="s">
        <v>95</v>
      </c>
      <c r="W69" s="12" t="s">
        <v>46</v>
      </c>
      <c r="X69" s="12"/>
      <c r="Y69" s="11" t="str">
        <f>HYPERLINK("https://www.stromypodkontrolou.cz/map/tree/d41bce85-5010-4276-b929-4760db78c679/f50de06a-116b-4e17-bc59-c1548ee6816a")</f>
        <v>https://www.stromypodkontrolou.cz/map/tree/d41bce85-5010-4276-b929-4760db78c679/f50de06a-116b-4e17-bc59-c1548ee6816a</v>
      </c>
      <c r="Z69" s="11">
        <v>-761203.87842199998</v>
      </c>
      <c r="AA69" s="11">
        <v>-989394.75545699999</v>
      </c>
      <c r="AB69" s="11" t="str">
        <f>HYPERLINK("https://www.mapy.cz?st=search&amp;fr=50.54193297 14.06105798")</f>
        <v>https://www.mapy.cz?st=search&amp;fr=50.54193297 14.06105798</v>
      </c>
      <c r="AC69" s="6">
        <f>(J69-K69)*L69</f>
        <v>128</v>
      </c>
      <c r="AD69" s="6" t="s">
        <v>870</v>
      </c>
      <c r="AE69" s="37"/>
    </row>
    <row r="70" spans="1:31" ht="35.1" customHeight="1" x14ac:dyDescent="0.2">
      <c r="A70" s="26" t="s">
        <v>186</v>
      </c>
      <c r="B70" s="12">
        <v>15452</v>
      </c>
      <c r="C70" s="13" t="s">
        <v>482</v>
      </c>
      <c r="D70" s="14" t="s">
        <v>28</v>
      </c>
      <c r="E70" s="11" t="s">
        <v>29</v>
      </c>
      <c r="F70" s="12" t="s">
        <v>225</v>
      </c>
      <c r="G70" s="12"/>
      <c r="H70" s="12"/>
      <c r="I70" s="12"/>
      <c r="J70" s="12" t="s">
        <v>72</v>
      </c>
      <c r="K70" s="12" t="s">
        <v>61</v>
      </c>
      <c r="L70" s="12" t="s">
        <v>50</v>
      </c>
      <c r="M70" s="12" t="s">
        <v>34</v>
      </c>
      <c r="N70" s="12" t="s">
        <v>105</v>
      </c>
      <c r="O70" s="12" t="s">
        <v>46</v>
      </c>
      <c r="P70" s="12" t="s">
        <v>37</v>
      </c>
      <c r="Q70" s="12" t="s">
        <v>37</v>
      </c>
      <c r="R70" s="11" t="s">
        <v>200</v>
      </c>
      <c r="S70" s="11" t="s">
        <v>180</v>
      </c>
      <c r="T70" s="11" t="s">
        <v>181</v>
      </c>
      <c r="U70" s="11" t="s">
        <v>380</v>
      </c>
      <c r="V70" s="12" t="s">
        <v>95</v>
      </c>
      <c r="W70" s="12" t="s">
        <v>46</v>
      </c>
      <c r="X70" s="12" t="s">
        <v>407</v>
      </c>
      <c r="Y70" s="11" t="str">
        <f>HYPERLINK("https://www.stromypodkontrolou.cz/map/tree/d41bce85-5010-4276-b929-4760db78c679/5aec9e21-b2d7-41f1-b11e-a4ba08f35da5")</f>
        <v>https://www.stromypodkontrolou.cz/map/tree/d41bce85-5010-4276-b929-4760db78c679/5aec9e21-b2d7-41f1-b11e-a4ba08f35da5</v>
      </c>
      <c r="Z70" s="11">
        <v>-761138.66004800005</v>
      </c>
      <c r="AA70" s="11">
        <v>-989725.16420500004</v>
      </c>
      <c r="AB70" s="11" t="str">
        <f>HYPERLINK("https://www.mapy.cz?st=search&amp;fr=50.53907495 14.06262640")</f>
        <v>https://www.mapy.cz?st=search&amp;fr=50.53907495 14.06262640</v>
      </c>
      <c r="AC70" s="6">
        <f>(J70-K70)*L70</f>
        <v>105</v>
      </c>
      <c r="AD70" s="6" t="s">
        <v>869</v>
      </c>
      <c r="AE70" s="37"/>
    </row>
    <row r="71" spans="1:31" ht="51" customHeight="1" x14ac:dyDescent="0.2">
      <c r="A71" s="26" t="s">
        <v>187</v>
      </c>
      <c r="B71" s="12">
        <v>10199</v>
      </c>
      <c r="C71" s="13" t="s">
        <v>483</v>
      </c>
      <c r="D71" s="14" t="s">
        <v>28</v>
      </c>
      <c r="E71" s="11" t="s">
        <v>29</v>
      </c>
      <c r="F71" s="12" t="s">
        <v>484</v>
      </c>
      <c r="G71" s="12"/>
      <c r="H71" s="12"/>
      <c r="I71" s="12"/>
      <c r="J71" s="12" t="s">
        <v>168</v>
      </c>
      <c r="K71" s="12" t="s">
        <v>61</v>
      </c>
      <c r="L71" s="12" t="s">
        <v>88</v>
      </c>
      <c r="M71" s="12" t="s">
        <v>95</v>
      </c>
      <c r="N71" s="12" t="s">
        <v>45</v>
      </c>
      <c r="O71" s="12" t="s">
        <v>36</v>
      </c>
      <c r="P71" s="12" t="s">
        <v>37</v>
      </c>
      <c r="Q71" s="12" t="s">
        <v>34</v>
      </c>
      <c r="R71" s="11" t="s">
        <v>485</v>
      </c>
      <c r="S71" s="11" t="s">
        <v>175</v>
      </c>
      <c r="T71" s="11" t="s">
        <v>176</v>
      </c>
      <c r="U71" s="11" t="s">
        <v>486</v>
      </c>
      <c r="V71" s="12" t="s">
        <v>95</v>
      </c>
      <c r="W71" s="12" t="s">
        <v>46</v>
      </c>
      <c r="X71" s="12" t="s">
        <v>406</v>
      </c>
      <c r="Y71" s="11" t="str">
        <f>HYPERLINK("https://www.stromypodkontrolou.cz/map/tree/d41bce85-5010-4276-b929-4760db78c679/eb0f3d7f-13c2-4958-9766-bbbc2b2a3b32")</f>
        <v>https://www.stromypodkontrolou.cz/map/tree/d41bce85-5010-4276-b929-4760db78c679/eb0f3d7f-13c2-4958-9766-bbbc2b2a3b32</v>
      </c>
      <c r="Z71" s="11">
        <v>-761314.19985099998</v>
      </c>
      <c r="AA71" s="11">
        <v>-989721.14664499997</v>
      </c>
      <c r="AB71" s="11" t="str">
        <f>HYPERLINK("https://www.mapy.cz?st=search&amp;fr=50.53888807 14.06016681")</f>
        <v>https://www.mapy.cz?st=search&amp;fr=50.53888807 14.06016681</v>
      </c>
      <c r="AC71" s="6">
        <f>(J71-K71)*L71</f>
        <v>440</v>
      </c>
      <c r="AD71" s="6" t="s">
        <v>872</v>
      </c>
      <c r="AE71" s="37"/>
    </row>
    <row r="72" spans="1:31" ht="35.1" customHeight="1" x14ac:dyDescent="0.2">
      <c r="A72" s="26" t="s">
        <v>187</v>
      </c>
      <c r="B72" s="12">
        <v>10204</v>
      </c>
      <c r="C72" s="13" t="s">
        <v>487</v>
      </c>
      <c r="D72" s="14" t="s">
        <v>62</v>
      </c>
      <c r="E72" s="11" t="s">
        <v>63</v>
      </c>
      <c r="F72" s="12" t="s">
        <v>30</v>
      </c>
      <c r="G72" s="12" t="s">
        <v>54</v>
      </c>
      <c r="H72" s="12" t="s">
        <v>167</v>
      </c>
      <c r="I72" s="12" t="s">
        <v>120</v>
      </c>
      <c r="J72" s="12" t="s">
        <v>79</v>
      </c>
      <c r="K72" s="12" t="s">
        <v>43</v>
      </c>
      <c r="L72" s="12" t="s">
        <v>49</v>
      </c>
      <c r="M72" s="12" t="s">
        <v>34</v>
      </c>
      <c r="N72" s="12" t="s">
        <v>105</v>
      </c>
      <c r="O72" s="12" t="s">
        <v>36</v>
      </c>
      <c r="P72" s="12" t="s">
        <v>36</v>
      </c>
      <c r="Q72" s="12" t="s">
        <v>34</v>
      </c>
      <c r="R72" s="11" t="s">
        <v>488</v>
      </c>
      <c r="S72" s="11" t="s">
        <v>175</v>
      </c>
      <c r="T72" s="11" t="s">
        <v>177</v>
      </c>
      <c r="U72" s="11" t="s">
        <v>432</v>
      </c>
      <c r="V72" s="12" t="s">
        <v>37</v>
      </c>
      <c r="W72" s="12" t="s">
        <v>46</v>
      </c>
      <c r="X72" s="12"/>
      <c r="Y72" s="11" t="str">
        <f>HYPERLINK("https://www.stromypodkontrolou.cz/map/tree/d41bce85-5010-4276-b929-4760db78c679/7ddd72d3-76f6-4683-83b7-2cb6c6a24146")</f>
        <v>https://www.stromypodkontrolou.cz/map/tree/d41bce85-5010-4276-b929-4760db78c679/7ddd72d3-76f6-4683-83b7-2cb6c6a24146</v>
      </c>
      <c r="Z72" s="11">
        <v>-761244.26342500001</v>
      </c>
      <c r="AA72" s="11">
        <v>-989862.62523999996</v>
      </c>
      <c r="AB72" s="11" t="str">
        <f>HYPERLINK("https://www.mapy.cz?st=search&amp;fr=50.53771757 14.06142511")</f>
        <v>https://www.mapy.cz?st=search&amp;fr=50.53771757 14.06142511</v>
      </c>
      <c r="AC72" s="6">
        <f>(J72-K72)*L72</f>
        <v>99</v>
      </c>
      <c r="AD72" s="6" t="s">
        <v>873</v>
      </c>
      <c r="AE72" s="37"/>
    </row>
    <row r="73" spans="1:31" ht="35.1" customHeight="1" x14ac:dyDescent="0.2">
      <c r="A73" s="26" t="s">
        <v>187</v>
      </c>
      <c r="B73" s="12">
        <v>10207</v>
      </c>
      <c r="C73" s="13" t="s">
        <v>490</v>
      </c>
      <c r="D73" s="14" t="s">
        <v>109</v>
      </c>
      <c r="E73" s="11" t="s">
        <v>110</v>
      </c>
      <c r="F73" s="12" t="s">
        <v>88</v>
      </c>
      <c r="G73" s="12"/>
      <c r="H73" s="12"/>
      <c r="I73" s="12"/>
      <c r="J73" s="12" t="s">
        <v>90</v>
      </c>
      <c r="K73" s="12" t="s">
        <v>103</v>
      </c>
      <c r="L73" s="12" t="s">
        <v>50</v>
      </c>
      <c r="M73" s="12" t="s">
        <v>37</v>
      </c>
      <c r="N73" s="12" t="s">
        <v>105</v>
      </c>
      <c r="O73" s="12" t="s">
        <v>46</v>
      </c>
      <c r="P73" s="12" t="s">
        <v>46</v>
      </c>
      <c r="Q73" s="12" t="s">
        <v>36</v>
      </c>
      <c r="R73" s="11" t="s">
        <v>114</v>
      </c>
      <c r="S73" s="11" t="s">
        <v>175</v>
      </c>
      <c r="T73" s="11" t="s">
        <v>491</v>
      </c>
      <c r="U73" s="11" t="s">
        <v>378</v>
      </c>
      <c r="V73" s="12" t="s">
        <v>95</v>
      </c>
      <c r="W73" s="12" t="s">
        <v>46</v>
      </c>
      <c r="X73" s="12" t="s">
        <v>379</v>
      </c>
      <c r="Y73" s="11" t="str">
        <f>HYPERLINK("https://www.stromypodkontrolou.cz/map/tree/d41bce85-5010-4276-b929-4760db78c679/03651826-933c-42b3-9692-876ed978a631")</f>
        <v>https://www.stromypodkontrolou.cz/map/tree/d41bce85-5010-4276-b929-4760db78c679/03651826-933c-42b3-9692-876ed978a631</v>
      </c>
      <c r="Z73" s="11">
        <v>-761208.73466299998</v>
      </c>
      <c r="AA73" s="11">
        <v>-989989.17105400003</v>
      </c>
      <c r="AB73" s="11" t="str">
        <f>HYPERLINK("https://www.mapy.cz?st=search&amp;fr=50.53663633 14.06217311")</f>
        <v>https://www.mapy.cz?st=search&amp;fr=50.53663633 14.06217311</v>
      </c>
      <c r="AC73" s="6">
        <f t="shared" ref="AC73:AC74" si="16">(J73-K73)*L73</f>
        <v>77</v>
      </c>
      <c r="AD73" s="6" t="s">
        <v>866</v>
      </c>
      <c r="AE73" s="37"/>
    </row>
    <row r="74" spans="1:31" ht="35.1" customHeight="1" x14ac:dyDescent="0.2">
      <c r="A74" s="26" t="s">
        <v>187</v>
      </c>
      <c r="B74" s="12">
        <v>10208</v>
      </c>
      <c r="C74" s="13" t="s">
        <v>492</v>
      </c>
      <c r="D74" s="14" t="s">
        <v>109</v>
      </c>
      <c r="E74" s="11" t="s">
        <v>110</v>
      </c>
      <c r="F74" s="12" t="s">
        <v>74</v>
      </c>
      <c r="G74" s="12"/>
      <c r="H74" s="12"/>
      <c r="I74" s="12"/>
      <c r="J74" s="12" t="s">
        <v>90</v>
      </c>
      <c r="K74" s="12" t="s">
        <v>103</v>
      </c>
      <c r="L74" s="12" t="s">
        <v>49</v>
      </c>
      <c r="M74" s="12" t="s">
        <v>37</v>
      </c>
      <c r="N74" s="12" t="s">
        <v>105</v>
      </c>
      <c r="O74" s="12" t="s">
        <v>36</v>
      </c>
      <c r="P74" s="12" t="s">
        <v>46</v>
      </c>
      <c r="Q74" s="12" t="s">
        <v>36</v>
      </c>
      <c r="R74" s="11" t="s">
        <v>114</v>
      </c>
      <c r="S74" s="11" t="s">
        <v>175</v>
      </c>
      <c r="T74" s="11" t="s">
        <v>491</v>
      </c>
      <c r="U74" s="11" t="s">
        <v>378</v>
      </c>
      <c r="V74" s="12" t="s">
        <v>95</v>
      </c>
      <c r="W74" s="12" t="s">
        <v>46</v>
      </c>
      <c r="X74" s="12"/>
      <c r="Y74" s="11" t="str">
        <f>HYPERLINK("https://www.stromypodkontrolou.cz/map/tree/d41bce85-5010-4276-b929-4760db78c679/4ae50e0f-fb50-4700-950b-e10c9a1ccd7c")</f>
        <v>https://www.stromypodkontrolou.cz/map/tree/d41bce85-5010-4276-b929-4760db78c679/4ae50e0f-fb50-4700-950b-e10c9a1ccd7c</v>
      </c>
      <c r="Z74" s="11">
        <v>-761206.93728800002</v>
      </c>
      <c r="AA74" s="11">
        <v>-990001.66181399999</v>
      </c>
      <c r="AB74" s="11" t="str">
        <f>HYPERLINK("https://www.mapy.cz?st=search&amp;fr=50.53652744 14.06222306")</f>
        <v>https://www.mapy.cz?st=search&amp;fr=50.53652744 14.06222306</v>
      </c>
      <c r="AC74" s="6">
        <f t="shared" si="16"/>
        <v>99</v>
      </c>
      <c r="AD74" s="6" t="s">
        <v>866</v>
      </c>
      <c r="AE74" s="37"/>
    </row>
    <row r="75" spans="1:31" ht="35.1" customHeight="1" x14ac:dyDescent="0.2">
      <c r="A75" s="26" t="s">
        <v>187</v>
      </c>
      <c r="B75" s="12">
        <v>10211</v>
      </c>
      <c r="C75" s="13" t="s">
        <v>493</v>
      </c>
      <c r="D75" s="14" t="s">
        <v>62</v>
      </c>
      <c r="E75" s="11" t="s">
        <v>63</v>
      </c>
      <c r="F75" s="12" t="s">
        <v>30</v>
      </c>
      <c r="G75" s="12"/>
      <c r="H75" s="12"/>
      <c r="I75" s="12"/>
      <c r="J75" s="12" t="s">
        <v>56</v>
      </c>
      <c r="K75" s="12" t="s">
        <v>80</v>
      </c>
      <c r="L75" s="12" t="s">
        <v>49</v>
      </c>
      <c r="M75" s="12" t="s">
        <v>34</v>
      </c>
      <c r="N75" s="12" t="s">
        <v>105</v>
      </c>
      <c r="O75" s="12" t="s">
        <v>36</v>
      </c>
      <c r="P75" s="12" t="s">
        <v>34</v>
      </c>
      <c r="Q75" s="12" t="s">
        <v>34</v>
      </c>
      <c r="R75" s="11" t="s">
        <v>86</v>
      </c>
      <c r="S75" s="11" t="s">
        <v>175</v>
      </c>
      <c r="T75" s="11" t="s">
        <v>177</v>
      </c>
      <c r="U75" s="11" t="s">
        <v>384</v>
      </c>
      <c r="V75" s="12" t="s">
        <v>95</v>
      </c>
      <c r="W75" s="12" t="s">
        <v>46</v>
      </c>
      <c r="X75" s="12" t="s">
        <v>406</v>
      </c>
      <c r="Y75" s="11" t="str">
        <f>HYPERLINK("https://www.stromypodkontrolou.cz/map/tree/d41bce85-5010-4276-b929-4760db78c679/8ecfc61f-7769-432b-a4a2-ab8c76997e81")</f>
        <v>https://www.stromypodkontrolou.cz/map/tree/d41bce85-5010-4276-b929-4760db78c679/8ecfc61f-7769-432b-a4a2-ab8c76997e81</v>
      </c>
      <c r="Z75" s="11">
        <v>-761217.21440399997</v>
      </c>
      <c r="AA75" s="11">
        <v>-990201.84579499997</v>
      </c>
      <c r="AB75" s="11" t="str">
        <f>HYPERLINK("https://www.mapy.cz?st=search&amp;fr=50.53473271 14.06247787")</f>
        <v>https://www.mapy.cz?st=search&amp;fr=50.53473271 14.06247787</v>
      </c>
      <c r="AC75" s="6">
        <f>(J75-K75)*L75</f>
        <v>162</v>
      </c>
      <c r="AD75" s="6" t="s">
        <v>865</v>
      </c>
      <c r="AE75" s="37"/>
    </row>
    <row r="76" spans="1:31" ht="33.75" customHeight="1" x14ac:dyDescent="0.2">
      <c r="A76" s="26" t="s">
        <v>187</v>
      </c>
      <c r="B76" s="12">
        <v>10215</v>
      </c>
      <c r="C76" s="13" t="s">
        <v>494</v>
      </c>
      <c r="D76" s="14" t="s">
        <v>28</v>
      </c>
      <c r="E76" s="11" t="s">
        <v>29</v>
      </c>
      <c r="F76" s="12" t="s">
        <v>131</v>
      </c>
      <c r="G76" s="12"/>
      <c r="H76" s="12"/>
      <c r="I76" s="12"/>
      <c r="J76" s="12" t="s">
        <v>56</v>
      </c>
      <c r="K76" s="12" t="s">
        <v>43</v>
      </c>
      <c r="L76" s="12" t="s">
        <v>33</v>
      </c>
      <c r="M76" s="12" t="s">
        <v>37</v>
      </c>
      <c r="N76" s="12" t="s">
        <v>105</v>
      </c>
      <c r="O76" s="12" t="s">
        <v>46</v>
      </c>
      <c r="P76" s="12" t="s">
        <v>46</v>
      </c>
      <c r="Q76" s="12" t="s">
        <v>36</v>
      </c>
      <c r="R76" s="11" t="s">
        <v>495</v>
      </c>
      <c r="S76" s="11" t="s">
        <v>175</v>
      </c>
      <c r="T76" s="11" t="s">
        <v>496</v>
      </c>
      <c r="U76" s="11" t="s">
        <v>497</v>
      </c>
      <c r="V76" s="12" t="s">
        <v>95</v>
      </c>
      <c r="W76" s="12" t="s">
        <v>46</v>
      </c>
      <c r="X76" s="12"/>
      <c r="Y76" s="11" t="str">
        <f>HYPERLINK("https://www.stromypodkontrolou.cz/map/tree/d41bce85-5010-4276-b929-4760db78c679/9a6240d9-742a-47e9-9e80-7c452fde0851")</f>
        <v>https://www.stromypodkontrolou.cz/map/tree/d41bce85-5010-4276-b929-4760db78c679/9a6240d9-742a-47e9-9e80-7c452fde0851</v>
      </c>
      <c r="Z76" s="11">
        <v>-761487.97466800001</v>
      </c>
      <c r="AA76" s="11">
        <v>-990494.02733700001</v>
      </c>
      <c r="AB76" s="11" t="str">
        <f>HYPERLINK("https://www.mapy.cz?st=search&amp;fr=50.53178878 14.05927833")</f>
        <v>https://www.mapy.cz?st=search&amp;fr=50.53178878 14.05927833</v>
      </c>
      <c r="AC76" s="6">
        <f>(J76-K76)*L76</f>
        <v>136</v>
      </c>
      <c r="AD76" s="6" t="s">
        <v>874</v>
      </c>
      <c r="AE76" s="37"/>
    </row>
    <row r="77" spans="1:31" ht="35.1" customHeight="1" x14ac:dyDescent="0.2">
      <c r="A77" s="26" t="s">
        <v>187</v>
      </c>
      <c r="B77" s="12">
        <v>10217</v>
      </c>
      <c r="C77" s="13" t="s">
        <v>498</v>
      </c>
      <c r="D77" s="14" t="s">
        <v>28</v>
      </c>
      <c r="E77" s="11" t="s">
        <v>29</v>
      </c>
      <c r="F77" s="12" t="s">
        <v>130</v>
      </c>
      <c r="G77" s="12"/>
      <c r="H77" s="12"/>
      <c r="I77" s="12"/>
      <c r="J77" s="12" t="s">
        <v>75</v>
      </c>
      <c r="K77" s="12" t="s">
        <v>103</v>
      </c>
      <c r="L77" s="12" t="s">
        <v>33</v>
      </c>
      <c r="M77" s="12" t="s">
        <v>37</v>
      </c>
      <c r="N77" s="12" t="s">
        <v>105</v>
      </c>
      <c r="O77" s="12" t="s">
        <v>46</v>
      </c>
      <c r="P77" s="12" t="s">
        <v>36</v>
      </c>
      <c r="Q77" s="12" t="s">
        <v>36</v>
      </c>
      <c r="R77" s="11" t="s">
        <v>495</v>
      </c>
      <c r="S77" s="11" t="s">
        <v>175</v>
      </c>
      <c r="T77" s="11" t="s">
        <v>496</v>
      </c>
      <c r="U77" s="11" t="s">
        <v>497</v>
      </c>
      <c r="V77" s="12" t="s">
        <v>95</v>
      </c>
      <c r="W77" s="12" t="s">
        <v>46</v>
      </c>
      <c r="X77" s="12"/>
      <c r="Y77" s="11" t="str">
        <f>HYPERLINK("https://www.stromypodkontrolou.cz/map/tree/d41bce85-5010-4276-b929-4760db78c679/736cc791-c558-4122-a8ed-ab4c8c49ef37")</f>
        <v>https://www.stromypodkontrolou.cz/map/tree/d41bce85-5010-4276-b929-4760db78c679/736cc791-c558-4122-a8ed-ab4c8c49ef37</v>
      </c>
      <c r="Z77" s="11">
        <v>-761493.76711500005</v>
      </c>
      <c r="AA77" s="11">
        <v>-990497.77526599995</v>
      </c>
      <c r="AB77" s="11" t="str">
        <f>HYPERLINK("https://www.mapy.cz?st=search&amp;fr=50.53174808 14.05920491")</f>
        <v>https://www.mapy.cz?st=search&amp;fr=50.53174808 14.05920491</v>
      </c>
      <c r="AC77" s="6">
        <f>(J77-K77)*L77</f>
        <v>104</v>
      </c>
      <c r="AD77" s="6" t="s">
        <v>874</v>
      </c>
      <c r="AE77" s="37"/>
    </row>
    <row r="78" spans="1:31" ht="35.1" customHeight="1" x14ac:dyDescent="0.2">
      <c r="A78" s="26" t="s">
        <v>187</v>
      </c>
      <c r="B78" s="12">
        <v>10222</v>
      </c>
      <c r="C78" s="13" t="s">
        <v>499</v>
      </c>
      <c r="D78" s="14" t="s">
        <v>109</v>
      </c>
      <c r="E78" s="11" t="s">
        <v>110</v>
      </c>
      <c r="F78" s="12" t="s">
        <v>87</v>
      </c>
      <c r="G78" s="12"/>
      <c r="H78" s="12"/>
      <c r="I78" s="12"/>
      <c r="J78" s="12" t="s">
        <v>112</v>
      </c>
      <c r="K78" s="12" t="s">
        <v>103</v>
      </c>
      <c r="L78" s="12" t="s">
        <v>44</v>
      </c>
      <c r="M78" s="12" t="s">
        <v>37</v>
      </c>
      <c r="N78" s="12" t="s">
        <v>105</v>
      </c>
      <c r="O78" s="12" t="s">
        <v>36</v>
      </c>
      <c r="P78" s="12" t="s">
        <v>46</v>
      </c>
      <c r="Q78" s="12" t="s">
        <v>36</v>
      </c>
      <c r="R78" s="11" t="s">
        <v>114</v>
      </c>
      <c r="S78" s="11" t="s">
        <v>175</v>
      </c>
      <c r="T78" s="11" t="s">
        <v>489</v>
      </c>
      <c r="U78" s="11" t="s">
        <v>378</v>
      </c>
      <c r="V78" s="12" t="s">
        <v>95</v>
      </c>
      <c r="W78" s="12" t="s">
        <v>46</v>
      </c>
      <c r="X78" s="12" t="s">
        <v>379</v>
      </c>
      <c r="Y78" s="11" t="str">
        <f>HYPERLINK("https://www.stromypodkontrolou.cz/map/tree/d41bce85-5010-4276-b929-4760db78c679/9ecc485c-7a10-4a84-a9b6-1426789c9fbf")</f>
        <v>https://www.stromypodkontrolou.cz/map/tree/d41bce85-5010-4276-b929-4760db78c679/9ecc485c-7a10-4a84-a9b6-1426789c9fbf</v>
      </c>
      <c r="Z78" s="11">
        <v>-761267.93495300005</v>
      </c>
      <c r="AA78" s="11">
        <v>-989830.28222199995</v>
      </c>
      <c r="AB78" s="11" t="str">
        <f>HYPERLINK("https://www.mapy.cz?st=search&amp;fr=50.53797541 14.06103015")</f>
        <v>https://www.mapy.cz?st=search&amp;fr=50.53797541 14.06103015</v>
      </c>
      <c r="AC78" s="6">
        <f t="shared" ref="AC78:AC80" si="17">(J78-K78)*L78</f>
        <v>60</v>
      </c>
      <c r="AD78" s="6" t="s">
        <v>866</v>
      </c>
      <c r="AE78" s="37"/>
    </row>
    <row r="79" spans="1:31" ht="35.1" customHeight="1" x14ac:dyDescent="0.2">
      <c r="A79" s="47" t="s">
        <v>189</v>
      </c>
      <c r="B79" s="46">
        <v>10034</v>
      </c>
      <c r="C79" s="48" t="s">
        <v>500</v>
      </c>
      <c r="D79" s="49" t="s">
        <v>109</v>
      </c>
      <c r="E79" s="45" t="s">
        <v>110</v>
      </c>
      <c r="F79" s="46" t="s">
        <v>164</v>
      </c>
      <c r="G79" s="46"/>
      <c r="H79" s="46"/>
      <c r="I79" s="46"/>
      <c r="J79" s="46" t="s">
        <v>72</v>
      </c>
      <c r="K79" s="46" t="s">
        <v>103</v>
      </c>
      <c r="L79" s="46" t="s">
        <v>136</v>
      </c>
      <c r="M79" s="46" t="s">
        <v>34</v>
      </c>
      <c r="N79" s="46" t="s">
        <v>105</v>
      </c>
      <c r="O79" s="46" t="s">
        <v>36</v>
      </c>
      <c r="P79" s="46" t="s">
        <v>36</v>
      </c>
      <c r="Q79" s="46" t="s">
        <v>36</v>
      </c>
      <c r="R79" s="45" t="s">
        <v>501</v>
      </c>
      <c r="S79" s="45" t="s">
        <v>38</v>
      </c>
      <c r="T79" s="45" t="s">
        <v>502</v>
      </c>
      <c r="U79" s="11" t="s">
        <v>378</v>
      </c>
      <c r="V79" s="12" t="s">
        <v>48</v>
      </c>
      <c r="W79" s="12" t="s">
        <v>46</v>
      </c>
      <c r="X79" s="12"/>
      <c r="Y79" s="45" t="str">
        <f>HYPERLINK("https://www.stromypodkontrolou.cz/map/tree/d41bce85-5010-4276-b929-4760db78c679/3bdcdeeb-9759-47cd-bf8b-05102d2e1dc7")</f>
        <v>https://www.stromypodkontrolou.cz/map/tree/d41bce85-5010-4276-b929-4760db78c679/3bdcdeeb-9759-47cd-bf8b-05102d2e1dc7</v>
      </c>
      <c r="Z79" s="45">
        <v>-760735.38350300002</v>
      </c>
      <c r="AA79" s="45">
        <v>-978589.30987400003</v>
      </c>
      <c r="AB79" s="45" t="str">
        <f>HYPERLINK("https://www.mapy.cz?st=search&amp;fr=50.63869647 14.04606510")</f>
        <v>https://www.mapy.cz?st=search&amp;fr=50.63869647 14.04606510</v>
      </c>
      <c r="AC79" s="6">
        <f t="shared" si="17"/>
        <v>196</v>
      </c>
      <c r="AD79" s="6" t="s">
        <v>866</v>
      </c>
      <c r="AE79" s="37"/>
    </row>
    <row r="80" spans="1:31" ht="35.1" customHeight="1" x14ac:dyDescent="0.2">
      <c r="A80" s="47"/>
      <c r="B80" s="46"/>
      <c r="C80" s="48"/>
      <c r="D80" s="49"/>
      <c r="E80" s="45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5"/>
      <c r="S80" s="45"/>
      <c r="T80" s="45"/>
      <c r="U80" s="11" t="s">
        <v>503</v>
      </c>
      <c r="V80" s="12" t="s">
        <v>95</v>
      </c>
      <c r="W80" s="12" t="s">
        <v>46</v>
      </c>
      <c r="X80" s="12" t="s">
        <v>433</v>
      </c>
      <c r="Y80" s="45"/>
      <c r="Z80" s="45"/>
      <c r="AA80" s="45"/>
      <c r="AB80" s="45"/>
      <c r="AC80" s="6">
        <f t="shared" si="17"/>
        <v>0</v>
      </c>
      <c r="AD80" s="6" t="s">
        <v>869</v>
      </c>
      <c r="AE80" s="37"/>
    </row>
    <row r="81" spans="1:31" ht="35.1" customHeight="1" x14ac:dyDescent="0.2">
      <c r="A81" s="26" t="s">
        <v>192</v>
      </c>
      <c r="B81" s="12">
        <v>15496</v>
      </c>
      <c r="C81" s="13" t="s">
        <v>505</v>
      </c>
      <c r="D81" s="14" t="s">
        <v>128</v>
      </c>
      <c r="E81" s="11" t="s">
        <v>129</v>
      </c>
      <c r="F81" s="12" t="s">
        <v>82</v>
      </c>
      <c r="G81" s="12" t="s">
        <v>91</v>
      </c>
      <c r="H81" s="12"/>
      <c r="I81" s="12"/>
      <c r="J81" s="12" t="s">
        <v>66</v>
      </c>
      <c r="K81" s="12" t="s">
        <v>80</v>
      </c>
      <c r="L81" s="12" t="s">
        <v>33</v>
      </c>
      <c r="M81" s="12" t="s">
        <v>37</v>
      </c>
      <c r="N81" s="12" t="s">
        <v>105</v>
      </c>
      <c r="O81" s="12" t="s">
        <v>36</v>
      </c>
      <c r="P81" s="12" t="s">
        <v>36</v>
      </c>
      <c r="Q81" s="12" t="s">
        <v>36</v>
      </c>
      <c r="R81" s="11" t="s">
        <v>155</v>
      </c>
      <c r="S81" s="11" t="s">
        <v>180</v>
      </c>
      <c r="T81" s="11" t="s">
        <v>194</v>
      </c>
      <c r="U81" s="11" t="s">
        <v>380</v>
      </c>
      <c r="V81" s="12" t="s">
        <v>95</v>
      </c>
      <c r="W81" s="12" t="s">
        <v>46</v>
      </c>
      <c r="X81" s="12" t="s">
        <v>386</v>
      </c>
      <c r="Y81" s="11" t="str">
        <f>HYPERLINK("https://www.stromypodkontrolou.cz/map/tree/d41bce85-5010-4276-b929-4760db78c679/3071e9a5-1887-460e-90ee-efc7174626e9")</f>
        <v>https://www.stromypodkontrolou.cz/map/tree/d41bce85-5010-4276-b929-4760db78c679/3071e9a5-1887-460e-90ee-efc7174626e9</v>
      </c>
      <c r="Z81" s="11">
        <v>-761076.07527799997</v>
      </c>
      <c r="AA81" s="11">
        <v>-990156.90010900004</v>
      </c>
      <c r="AB81" s="11" t="str">
        <f>HYPERLINK("https://www.mapy.cz?st=search&amp;fr=50.53531171 14.06435944")</f>
        <v>https://www.mapy.cz?st=search&amp;fr=50.53531171 14.06435944</v>
      </c>
      <c r="AC81" s="6">
        <f>(J81-K81)*L81</f>
        <v>120</v>
      </c>
      <c r="AD81" s="6" t="s">
        <v>869</v>
      </c>
      <c r="AE81" s="37"/>
    </row>
    <row r="82" spans="1:31" ht="53.25" customHeight="1" x14ac:dyDescent="0.2">
      <c r="A82" s="26" t="s">
        <v>192</v>
      </c>
      <c r="B82" s="12">
        <v>15525</v>
      </c>
      <c r="C82" s="13" t="s">
        <v>506</v>
      </c>
      <c r="D82" s="14" t="s">
        <v>128</v>
      </c>
      <c r="E82" s="11" t="s">
        <v>129</v>
      </c>
      <c r="F82" s="12" t="s">
        <v>164</v>
      </c>
      <c r="G82" s="12"/>
      <c r="H82" s="12"/>
      <c r="I82" s="12"/>
      <c r="J82" s="12" t="s">
        <v>75</v>
      </c>
      <c r="K82" s="12" t="s">
        <v>80</v>
      </c>
      <c r="L82" s="12" t="s">
        <v>47</v>
      </c>
      <c r="M82" s="12" t="s">
        <v>34</v>
      </c>
      <c r="N82" s="12" t="s">
        <v>105</v>
      </c>
      <c r="O82" s="12" t="s">
        <v>46</v>
      </c>
      <c r="P82" s="12" t="s">
        <v>36</v>
      </c>
      <c r="Q82" s="12" t="s">
        <v>37</v>
      </c>
      <c r="R82" s="11" t="s">
        <v>137</v>
      </c>
      <c r="S82" s="11" t="s">
        <v>180</v>
      </c>
      <c r="T82" s="11" t="s">
        <v>194</v>
      </c>
      <c r="U82" s="11" t="s">
        <v>380</v>
      </c>
      <c r="V82" s="12" t="s">
        <v>95</v>
      </c>
      <c r="W82" s="12" t="s">
        <v>46</v>
      </c>
      <c r="X82" s="12" t="s">
        <v>379</v>
      </c>
      <c r="Y82" s="11" t="str">
        <f>HYPERLINK("https://www.stromypodkontrolou.cz/map/tree/d41bce85-5010-4276-b929-4760db78c679/f03ae556-86c0-48cd-bd00-21b0ba59539b")</f>
        <v>https://www.stromypodkontrolou.cz/map/tree/d41bce85-5010-4276-b929-4760db78c679/f03ae556-86c0-48cd-bd00-21b0ba59539b</v>
      </c>
      <c r="Z82" s="11">
        <v>-761096.44226200006</v>
      </c>
      <c r="AA82" s="11">
        <v>-990255.20715699997</v>
      </c>
      <c r="AB82" s="11" t="str">
        <f>HYPERLINK("https://www.mapy.cz?st=search&amp;fr=50.53441092 14.06427059")</f>
        <v>https://www.mapy.cz?st=search&amp;fr=50.53441092 14.06427059</v>
      </c>
      <c r="AC82" s="6">
        <f>(J82-K82)*L82</f>
        <v>192</v>
      </c>
      <c r="AD82" s="6" t="s">
        <v>869</v>
      </c>
      <c r="AE82" s="37"/>
    </row>
    <row r="83" spans="1:31" ht="56.25" customHeight="1" x14ac:dyDescent="0.2">
      <c r="A83" s="26" t="s">
        <v>192</v>
      </c>
      <c r="B83" s="12">
        <v>15561</v>
      </c>
      <c r="C83" s="13" t="s">
        <v>507</v>
      </c>
      <c r="D83" s="14" t="s">
        <v>128</v>
      </c>
      <c r="E83" s="11" t="s">
        <v>129</v>
      </c>
      <c r="F83" s="12" t="s">
        <v>82</v>
      </c>
      <c r="G83" s="12"/>
      <c r="H83" s="12"/>
      <c r="I83" s="12"/>
      <c r="J83" s="12" t="s">
        <v>66</v>
      </c>
      <c r="K83" s="12" t="s">
        <v>43</v>
      </c>
      <c r="L83" s="12" t="s">
        <v>49</v>
      </c>
      <c r="M83" s="12" t="s">
        <v>37</v>
      </c>
      <c r="N83" s="12" t="s">
        <v>105</v>
      </c>
      <c r="O83" s="12" t="s">
        <v>46</v>
      </c>
      <c r="P83" s="12" t="s">
        <v>36</v>
      </c>
      <c r="Q83" s="12" t="s">
        <v>36</v>
      </c>
      <c r="R83" s="11" t="s">
        <v>114</v>
      </c>
      <c r="S83" s="11" t="s">
        <v>180</v>
      </c>
      <c r="T83" s="11" t="s">
        <v>194</v>
      </c>
      <c r="U83" s="11" t="s">
        <v>380</v>
      </c>
      <c r="V83" s="12" t="s">
        <v>95</v>
      </c>
      <c r="W83" s="12" t="s">
        <v>46</v>
      </c>
      <c r="X83" s="12" t="s">
        <v>379</v>
      </c>
      <c r="Y83" s="11" t="str">
        <f>HYPERLINK("https://www.stromypodkontrolou.cz/map/tree/d41bce85-5010-4276-b929-4760db78c679/9d8552e1-464b-4ea2-bbe3-b662f8eb1f06")</f>
        <v>https://www.stromypodkontrolou.cz/map/tree/d41bce85-5010-4276-b929-4760db78c679/9d8552e1-464b-4ea2-bbe3-b662f8eb1f06</v>
      </c>
      <c r="Z83" s="11">
        <v>-761137.61225200002</v>
      </c>
      <c r="AA83" s="11">
        <v>-990363.02730299998</v>
      </c>
      <c r="AB83" s="11" t="str">
        <f>HYPERLINK("https://www.mapy.cz?st=search&amp;fr=50.53339908 14.06391017")</f>
        <v>https://www.mapy.cz?st=search&amp;fr=50.53339908 14.06391017</v>
      </c>
      <c r="AC83" s="6">
        <f>(J83-K83)*L83</f>
        <v>126</v>
      </c>
      <c r="AD83" s="6" t="s">
        <v>869</v>
      </c>
      <c r="AE83" s="37"/>
    </row>
    <row r="84" spans="1:31" ht="35.1" customHeight="1" x14ac:dyDescent="0.2">
      <c r="A84" s="47" t="s">
        <v>192</v>
      </c>
      <c r="B84" s="46">
        <v>15567</v>
      </c>
      <c r="C84" s="48" t="s">
        <v>508</v>
      </c>
      <c r="D84" s="49" t="s">
        <v>62</v>
      </c>
      <c r="E84" s="45" t="s">
        <v>63</v>
      </c>
      <c r="F84" s="46" t="s">
        <v>145</v>
      </c>
      <c r="G84" s="46" t="s">
        <v>132</v>
      </c>
      <c r="H84" s="46"/>
      <c r="I84" s="46"/>
      <c r="J84" s="46" t="s">
        <v>112</v>
      </c>
      <c r="K84" s="46" t="s">
        <v>43</v>
      </c>
      <c r="L84" s="46" t="s">
        <v>48</v>
      </c>
      <c r="M84" s="46" t="s">
        <v>34</v>
      </c>
      <c r="N84" s="46" t="s">
        <v>105</v>
      </c>
      <c r="O84" s="46" t="s">
        <v>37</v>
      </c>
      <c r="P84" s="46" t="s">
        <v>37</v>
      </c>
      <c r="Q84" s="46" t="s">
        <v>37</v>
      </c>
      <c r="R84" s="45" t="s">
        <v>509</v>
      </c>
      <c r="S84" s="45" t="s">
        <v>180</v>
      </c>
      <c r="T84" s="45" t="s">
        <v>197</v>
      </c>
      <c r="U84" s="11" t="s">
        <v>384</v>
      </c>
      <c r="V84" s="12" t="s">
        <v>95</v>
      </c>
      <c r="W84" s="12" t="s">
        <v>46</v>
      </c>
      <c r="X84" s="12" t="s">
        <v>388</v>
      </c>
      <c r="Y84" s="45" t="str">
        <f>HYPERLINK("https://www.stromypodkontrolou.cz/map/tree/d41bce85-5010-4276-b929-4760db78c679/69ae64b1-c050-412d-b436-86c1b3d175b6")</f>
        <v>https://www.stromypodkontrolou.cz/map/tree/d41bce85-5010-4276-b929-4760db78c679/69ae64b1-c050-412d-b436-86c1b3d175b6</v>
      </c>
      <c r="Z84" s="45">
        <v>-761135.58403999999</v>
      </c>
      <c r="AA84" s="45">
        <v>-990395.47326</v>
      </c>
      <c r="AB84" s="45" t="str">
        <f>HYPERLINK("https://www.mapy.cz?st=search&amp;fr=50.53311287 14.06400304")</f>
        <v>https://www.mapy.cz?st=search&amp;fr=50.53311287 14.06400304</v>
      </c>
      <c r="AC84" s="6">
        <f t="shared" ref="AC84:AC85" si="18">(J84-K84)*L84</f>
        <v>120</v>
      </c>
      <c r="AD84" s="6" t="s">
        <v>865</v>
      </c>
      <c r="AE84" s="37"/>
    </row>
    <row r="85" spans="1:31" ht="35.1" customHeight="1" x14ac:dyDescent="0.2">
      <c r="A85" s="47"/>
      <c r="B85" s="46"/>
      <c r="C85" s="48"/>
      <c r="D85" s="49"/>
      <c r="E85" s="45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5"/>
      <c r="S85" s="45"/>
      <c r="T85" s="45"/>
      <c r="U85" s="11" t="s">
        <v>382</v>
      </c>
      <c r="V85" s="12" t="s">
        <v>95</v>
      </c>
      <c r="W85" s="12" t="s">
        <v>46</v>
      </c>
      <c r="X85" s="12"/>
      <c r="Y85" s="45"/>
      <c r="Z85" s="45"/>
      <c r="AA85" s="45"/>
      <c r="AB85" s="45"/>
      <c r="AC85" s="6">
        <f t="shared" si="18"/>
        <v>0</v>
      </c>
      <c r="AD85" s="6" t="s">
        <v>870</v>
      </c>
      <c r="AE85" s="37"/>
    </row>
    <row r="86" spans="1:31" ht="34.5" customHeight="1" x14ac:dyDescent="0.2">
      <c r="A86" s="26" t="s">
        <v>192</v>
      </c>
      <c r="B86" s="12">
        <v>15574</v>
      </c>
      <c r="C86" s="13" t="s">
        <v>512</v>
      </c>
      <c r="D86" s="14" t="s">
        <v>28</v>
      </c>
      <c r="E86" s="11" t="s">
        <v>29</v>
      </c>
      <c r="F86" s="12" t="s">
        <v>142</v>
      </c>
      <c r="G86" s="12" t="s">
        <v>225</v>
      </c>
      <c r="H86" s="12"/>
      <c r="I86" s="12"/>
      <c r="J86" s="12" t="s">
        <v>191</v>
      </c>
      <c r="K86" s="12" t="s">
        <v>32</v>
      </c>
      <c r="L86" s="12" t="s">
        <v>136</v>
      </c>
      <c r="M86" s="12" t="s">
        <v>34</v>
      </c>
      <c r="N86" s="12" t="s">
        <v>105</v>
      </c>
      <c r="O86" s="12" t="s">
        <v>46</v>
      </c>
      <c r="P86" s="12" t="s">
        <v>37</v>
      </c>
      <c r="Q86" s="12" t="s">
        <v>37</v>
      </c>
      <c r="R86" s="11" t="s">
        <v>196</v>
      </c>
      <c r="S86" s="11" t="s">
        <v>180</v>
      </c>
      <c r="T86" s="11" t="s">
        <v>197</v>
      </c>
      <c r="U86" s="11" t="s">
        <v>380</v>
      </c>
      <c r="V86" s="12" t="s">
        <v>95</v>
      </c>
      <c r="W86" s="12" t="s">
        <v>46</v>
      </c>
      <c r="X86" s="12" t="s">
        <v>407</v>
      </c>
      <c r="Y86" s="11" t="str">
        <f>HYPERLINK("https://www.stromypodkontrolou.cz/map/tree/d41bce85-5010-4276-b929-4760db78c679/0fdd8913-f998-479f-8903-ff10df29448d")</f>
        <v>https://www.stromypodkontrolou.cz/map/tree/d41bce85-5010-4276-b929-4760db78c679/0fdd8913-f998-479f-8903-ff10df29448d</v>
      </c>
      <c r="Z86" s="11">
        <v>-761129.35336800001</v>
      </c>
      <c r="AA86" s="11">
        <v>-990402.63429199997</v>
      </c>
      <c r="AB86" s="11" t="str">
        <f>HYPERLINK("https://www.mapy.cz?st=search&amp;fr=50.53305703 14.06410430")</f>
        <v>https://www.mapy.cz?st=search&amp;fr=50.53305703 14.06410430</v>
      </c>
      <c r="AC86" s="6">
        <f>(J86-K86)*L86</f>
        <v>238</v>
      </c>
      <c r="AD86" s="6" t="s">
        <v>871</v>
      </c>
      <c r="AE86" s="37"/>
    </row>
    <row r="87" spans="1:31" ht="35.1" customHeight="1" x14ac:dyDescent="0.2">
      <c r="A87" s="26" t="s">
        <v>192</v>
      </c>
      <c r="B87" s="12">
        <v>15637</v>
      </c>
      <c r="C87" s="13" t="s">
        <v>513</v>
      </c>
      <c r="D87" s="14" t="s">
        <v>28</v>
      </c>
      <c r="E87" s="11" t="s">
        <v>29</v>
      </c>
      <c r="F87" s="12" t="s">
        <v>514</v>
      </c>
      <c r="G87" s="12"/>
      <c r="H87" s="12"/>
      <c r="I87" s="12"/>
      <c r="J87" s="12" t="s">
        <v>224</v>
      </c>
      <c r="K87" s="12" t="s">
        <v>51</v>
      </c>
      <c r="L87" s="12" t="s">
        <v>88</v>
      </c>
      <c r="M87" s="12" t="s">
        <v>95</v>
      </c>
      <c r="N87" s="12" t="s">
        <v>45</v>
      </c>
      <c r="O87" s="12" t="s">
        <v>36</v>
      </c>
      <c r="P87" s="12" t="s">
        <v>37</v>
      </c>
      <c r="Q87" s="12" t="s">
        <v>34</v>
      </c>
      <c r="R87" s="11" t="s">
        <v>296</v>
      </c>
      <c r="S87" s="11" t="s">
        <v>180</v>
      </c>
      <c r="T87" s="11" t="s">
        <v>197</v>
      </c>
      <c r="U87" s="11" t="s">
        <v>384</v>
      </c>
      <c r="V87" s="12"/>
      <c r="W87" s="12" t="s">
        <v>46</v>
      </c>
      <c r="X87" s="12" t="s">
        <v>403</v>
      </c>
      <c r="Y87" s="11" t="str">
        <f>HYPERLINK("https://www.stromypodkontrolou.cz/map/tree/d41bce85-5010-4276-b929-4760db78c679/4cf44f80-0c5f-43b7-aa93-dd425e159262")</f>
        <v>https://www.stromypodkontrolou.cz/map/tree/d41bce85-5010-4276-b929-4760db78c679/4cf44f80-0c5f-43b7-aa93-dd425e159262</v>
      </c>
      <c r="Z87" s="11">
        <v>-761061.69874000002</v>
      </c>
      <c r="AA87" s="11">
        <v>-990296.47907100001</v>
      </c>
      <c r="AB87" s="11" t="str">
        <f>HYPERLINK("https://www.mapy.cz?st=search&amp;fr=50.53408763 14.06483788")</f>
        <v>https://www.mapy.cz?st=search&amp;fr=50.53408763 14.06483788</v>
      </c>
      <c r="AC87" s="6">
        <f t="shared" ref="AC87:AC90" si="19">(J87-K87)*L87</f>
        <v>520</v>
      </c>
      <c r="AD87" s="6" t="s">
        <v>868</v>
      </c>
      <c r="AE87" s="37"/>
    </row>
    <row r="88" spans="1:31" ht="35.1" customHeight="1" x14ac:dyDescent="0.2">
      <c r="A88" s="26" t="s">
        <v>192</v>
      </c>
      <c r="B88" s="12">
        <v>15675</v>
      </c>
      <c r="C88" s="13" t="s">
        <v>515</v>
      </c>
      <c r="D88" s="14" t="s">
        <v>28</v>
      </c>
      <c r="E88" s="11" t="s">
        <v>29</v>
      </c>
      <c r="F88" s="12" t="s">
        <v>516</v>
      </c>
      <c r="G88" s="12"/>
      <c r="H88" s="12"/>
      <c r="I88" s="12"/>
      <c r="J88" s="12" t="s">
        <v>221</v>
      </c>
      <c r="K88" s="12" t="s">
        <v>90</v>
      </c>
      <c r="L88" s="12" t="s">
        <v>94</v>
      </c>
      <c r="M88" s="12" t="s">
        <v>95</v>
      </c>
      <c r="N88" s="12" t="s">
        <v>45</v>
      </c>
      <c r="O88" s="12" t="s">
        <v>36</v>
      </c>
      <c r="P88" s="12" t="s">
        <v>34</v>
      </c>
      <c r="Q88" s="12" t="s">
        <v>95</v>
      </c>
      <c r="R88" s="11" t="s">
        <v>517</v>
      </c>
      <c r="S88" s="11" t="s">
        <v>180</v>
      </c>
      <c r="T88" s="11" t="s">
        <v>197</v>
      </c>
      <c r="U88" s="11" t="s">
        <v>384</v>
      </c>
      <c r="V88" s="12"/>
      <c r="W88" s="12" t="s">
        <v>46</v>
      </c>
      <c r="X88" s="12" t="s">
        <v>406</v>
      </c>
      <c r="Y88" s="11" t="str">
        <f>HYPERLINK("https://www.stromypodkontrolou.cz/map/tree/d41bce85-5010-4276-b929-4760db78c679/8fbd1702-f90b-4438-8ae5-d06bc553bceb")</f>
        <v>https://www.stromypodkontrolou.cz/map/tree/d41bce85-5010-4276-b929-4760db78c679/8fbd1702-f90b-4438-8ae5-d06bc553bceb</v>
      </c>
      <c r="Z88" s="11">
        <v>-761021.78708399995</v>
      </c>
      <c r="AA88" s="11">
        <v>-990155.17612099997</v>
      </c>
      <c r="AB88" s="11" t="str">
        <f>HYPERLINK("https://www.mapy.cz?st=search&amp;fr=50.53539588 14.06511415")</f>
        <v>https://www.mapy.cz?st=search&amp;fr=50.53539588 14.06511415</v>
      </c>
      <c r="AC88" s="6">
        <f t="shared" si="19"/>
        <v>208</v>
      </c>
      <c r="AD88" s="6" t="s">
        <v>865</v>
      </c>
      <c r="AE88" s="37"/>
    </row>
    <row r="89" spans="1:31" ht="35.1" customHeight="1" x14ac:dyDescent="0.2">
      <c r="A89" s="26" t="s">
        <v>192</v>
      </c>
      <c r="B89" s="12">
        <v>15676</v>
      </c>
      <c r="C89" s="13" t="s">
        <v>518</v>
      </c>
      <c r="D89" s="14" t="s">
        <v>28</v>
      </c>
      <c r="E89" s="11" t="s">
        <v>29</v>
      </c>
      <c r="F89" s="12" t="s">
        <v>510</v>
      </c>
      <c r="G89" s="12"/>
      <c r="H89" s="12"/>
      <c r="I89" s="12"/>
      <c r="J89" s="12" t="s">
        <v>216</v>
      </c>
      <c r="K89" s="12" t="s">
        <v>144</v>
      </c>
      <c r="L89" s="12" t="s">
        <v>118</v>
      </c>
      <c r="M89" s="12" t="s">
        <v>95</v>
      </c>
      <c r="N89" s="12" t="s">
        <v>105</v>
      </c>
      <c r="O89" s="12" t="s">
        <v>36</v>
      </c>
      <c r="P89" s="12" t="s">
        <v>37</v>
      </c>
      <c r="Q89" s="12" t="s">
        <v>37</v>
      </c>
      <c r="R89" s="11" t="s">
        <v>214</v>
      </c>
      <c r="S89" s="11" t="s">
        <v>180</v>
      </c>
      <c r="T89" s="11" t="s">
        <v>197</v>
      </c>
      <c r="U89" s="11" t="s">
        <v>384</v>
      </c>
      <c r="V89" s="12"/>
      <c r="W89" s="12" t="s">
        <v>46</v>
      </c>
      <c r="X89" s="12" t="s">
        <v>388</v>
      </c>
      <c r="Y89" s="11" t="str">
        <f>HYPERLINK("https://www.stromypodkontrolou.cz/map/tree/d41bce85-5010-4276-b929-4760db78c679/f1b36b00-b39a-48ab-81a8-d3792a2c3c07")</f>
        <v>https://www.stromypodkontrolou.cz/map/tree/d41bce85-5010-4276-b929-4760db78c679/f1b36b00-b39a-48ab-81a8-d3792a2c3c07</v>
      </c>
      <c r="Z89" s="11">
        <v>-761021.54640200001</v>
      </c>
      <c r="AA89" s="11">
        <v>-990153.48650700005</v>
      </c>
      <c r="AB89" s="11" t="str">
        <f>HYPERLINK("https://www.mapy.cz?st=search&amp;fr=50.53541123 14.06511415")</f>
        <v>https://www.mapy.cz?st=search&amp;fr=50.53541123 14.06511415</v>
      </c>
      <c r="AC89" s="6">
        <f t="shared" si="19"/>
        <v>390</v>
      </c>
      <c r="AD89" s="6" t="s">
        <v>879</v>
      </c>
      <c r="AE89" s="37"/>
    </row>
    <row r="90" spans="1:31" ht="34.5" customHeight="1" x14ac:dyDescent="0.2">
      <c r="A90" s="26" t="s">
        <v>192</v>
      </c>
      <c r="B90" s="12">
        <v>15691</v>
      </c>
      <c r="C90" s="13" t="s">
        <v>519</v>
      </c>
      <c r="D90" s="14" t="s">
        <v>201</v>
      </c>
      <c r="E90" s="11" t="s">
        <v>202</v>
      </c>
      <c r="F90" s="12" t="s">
        <v>41</v>
      </c>
      <c r="G90" s="12"/>
      <c r="H90" s="12"/>
      <c r="I90" s="12"/>
      <c r="J90" s="12" t="s">
        <v>51</v>
      </c>
      <c r="K90" s="12" t="s">
        <v>61</v>
      </c>
      <c r="L90" s="12" t="s">
        <v>34</v>
      </c>
      <c r="M90" s="12" t="s">
        <v>37</v>
      </c>
      <c r="N90" s="12" t="s">
        <v>105</v>
      </c>
      <c r="O90" s="12" t="s">
        <v>46</v>
      </c>
      <c r="P90" s="12" t="s">
        <v>46</v>
      </c>
      <c r="Q90" s="12" t="s">
        <v>36</v>
      </c>
      <c r="R90" s="11"/>
      <c r="S90" s="11" t="s">
        <v>180</v>
      </c>
      <c r="T90" s="11" t="s">
        <v>197</v>
      </c>
      <c r="U90" s="11" t="s">
        <v>378</v>
      </c>
      <c r="V90" s="12" t="s">
        <v>95</v>
      </c>
      <c r="W90" s="12" t="s">
        <v>46</v>
      </c>
      <c r="X90" s="12"/>
      <c r="Y90" s="11" t="str">
        <f>HYPERLINK("https://www.stromypodkontrolou.cz/map/tree/d41bce85-5010-4276-b929-4760db78c679/ecb3a4bf-67b5-4132-b6bc-df725c882851")</f>
        <v>https://www.stromypodkontrolou.cz/map/tree/d41bce85-5010-4276-b929-4760db78c679/ecb3a4bf-67b5-4132-b6bc-df725c882851</v>
      </c>
      <c r="Z90" s="11">
        <v>-761052.40180800005</v>
      </c>
      <c r="AA90" s="11">
        <v>-989997.29428300005</v>
      </c>
      <c r="AB90" s="11" t="str">
        <f>HYPERLINK("https://www.mapy.cz?st=search&amp;fr=50.53676227 14.06437252")</f>
        <v>https://www.mapy.cz?st=search&amp;fr=50.53676227 14.06437252</v>
      </c>
      <c r="AC90" s="6">
        <f t="shared" si="19"/>
        <v>24</v>
      </c>
      <c r="AD90" s="6" t="s">
        <v>866</v>
      </c>
      <c r="AE90" s="37"/>
    </row>
    <row r="91" spans="1:31" ht="35.1" customHeight="1" x14ac:dyDescent="0.2">
      <c r="A91" s="26" t="s">
        <v>240</v>
      </c>
      <c r="B91" s="12">
        <v>10231</v>
      </c>
      <c r="C91" s="13" t="s">
        <v>521</v>
      </c>
      <c r="D91" s="14" t="s">
        <v>28</v>
      </c>
      <c r="E91" s="11" t="s">
        <v>29</v>
      </c>
      <c r="F91" s="12" t="s">
        <v>217</v>
      </c>
      <c r="G91" s="12"/>
      <c r="H91" s="12"/>
      <c r="I91" s="12"/>
      <c r="J91" s="12" t="s">
        <v>170</v>
      </c>
      <c r="K91" s="12" t="s">
        <v>32</v>
      </c>
      <c r="L91" s="12" t="s">
        <v>48</v>
      </c>
      <c r="M91" s="12" t="s">
        <v>34</v>
      </c>
      <c r="N91" s="12" t="s">
        <v>105</v>
      </c>
      <c r="O91" s="12" t="s">
        <v>46</v>
      </c>
      <c r="P91" s="12" t="s">
        <v>36</v>
      </c>
      <c r="Q91" s="12" t="s">
        <v>37</v>
      </c>
      <c r="R91" s="11" t="s">
        <v>522</v>
      </c>
      <c r="S91" s="11" t="s">
        <v>241</v>
      </c>
      <c r="T91" s="11" t="s">
        <v>242</v>
      </c>
      <c r="U91" s="11" t="s">
        <v>380</v>
      </c>
      <c r="V91" s="12" t="s">
        <v>95</v>
      </c>
      <c r="W91" s="12" t="s">
        <v>46</v>
      </c>
      <c r="X91" s="12" t="s">
        <v>439</v>
      </c>
      <c r="Y91" s="11" t="str">
        <f>HYPERLINK("https://www.stromypodkontrolou.cz/map/tree/d41bce85-5010-4276-b929-4760db78c679/9620431b-6073-49cd-a08e-e545ffc41548")</f>
        <v>https://www.stromypodkontrolou.cz/map/tree/d41bce85-5010-4276-b929-4760db78c679/9620431b-6073-49cd-a08e-e545ffc41548</v>
      </c>
      <c r="Z91" s="11">
        <v>-761946.55106500001</v>
      </c>
      <c r="AA91" s="11">
        <v>-990840.858443</v>
      </c>
      <c r="AB91" s="11" t="str">
        <f>HYPERLINK("https://www.mapy.cz?st=search&amp;fr=50.52812002 14.05356556")</f>
        <v>https://www.mapy.cz?st=search&amp;fr=50.52812002 14.05356556</v>
      </c>
      <c r="AC91" s="6">
        <f>(J91-K91)*L91</f>
        <v>220</v>
      </c>
      <c r="AD91" s="6" t="s">
        <v>871</v>
      </c>
      <c r="AE91" s="37"/>
    </row>
    <row r="92" spans="1:31" ht="36.75" customHeight="1" x14ac:dyDescent="0.2">
      <c r="A92" s="47" t="s">
        <v>245</v>
      </c>
      <c r="B92" s="46">
        <v>10244</v>
      </c>
      <c r="C92" s="48" t="s">
        <v>523</v>
      </c>
      <c r="D92" s="49" t="s">
        <v>28</v>
      </c>
      <c r="E92" s="45" t="s">
        <v>29</v>
      </c>
      <c r="F92" s="46" t="s">
        <v>188</v>
      </c>
      <c r="G92" s="46" t="s">
        <v>219</v>
      </c>
      <c r="H92" s="46"/>
      <c r="I92" s="46"/>
      <c r="J92" s="46" t="s">
        <v>229</v>
      </c>
      <c r="K92" s="46" t="s">
        <v>113</v>
      </c>
      <c r="L92" s="46" t="s">
        <v>118</v>
      </c>
      <c r="M92" s="46" t="s">
        <v>34</v>
      </c>
      <c r="N92" s="46" t="s">
        <v>105</v>
      </c>
      <c r="O92" s="46" t="s">
        <v>36</v>
      </c>
      <c r="P92" s="46" t="s">
        <v>36</v>
      </c>
      <c r="Q92" s="46" t="s">
        <v>37</v>
      </c>
      <c r="R92" s="45" t="s">
        <v>246</v>
      </c>
      <c r="S92" s="45" t="s">
        <v>241</v>
      </c>
      <c r="T92" s="45" t="s">
        <v>242</v>
      </c>
      <c r="U92" s="11" t="s">
        <v>382</v>
      </c>
      <c r="V92" s="12" t="s">
        <v>95</v>
      </c>
      <c r="W92" s="12" t="s">
        <v>46</v>
      </c>
      <c r="X92" s="12"/>
      <c r="Y92" s="45" t="str">
        <f>HYPERLINK("https://www.stromypodkontrolou.cz/map/tree/d41bce85-5010-4276-b929-4760db78c679/d67dc1b0-cc78-4791-a1a5-8a39346077a8")</f>
        <v>https://www.stromypodkontrolou.cz/map/tree/d41bce85-5010-4276-b929-4760db78c679/d67dc1b0-cc78-4791-a1a5-8a39346077a8</v>
      </c>
      <c r="Z92" s="45">
        <v>-762175.32609900006</v>
      </c>
      <c r="AA92" s="45">
        <v>-991037.36155000003</v>
      </c>
      <c r="AB92" s="45" t="str">
        <f>HYPERLINK("https://www.mapy.cz?st=search&amp;fr=50.52608070 14.05076265")</f>
        <v>https://www.mapy.cz?st=search&amp;fr=50.52608070 14.05076265</v>
      </c>
      <c r="AC92" s="6">
        <f t="shared" ref="AC92:AC93" si="20">(J92-K92)*L92</f>
        <v>390</v>
      </c>
      <c r="AD92" s="6" t="s">
        <v>875</v>
      </c>
      <c r="AE92" s="37"/>
    </row>
    <row r="93" spans="1:31" ht="36.75" customHeight="1" x14ac:dyDescent="0.2">
      <c r="A93" s="47"/>
      <c r="B93" s="46"/>
      <c r="C93" s="48"/>
      <c r="D93" s="49"/>
      <c r="E93" s="45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5"/>
      <c r="S93" s="45"/>
      <c r="T93" s="45"/>
      <c r="U93" s="11" t="s">
        <v>380</v>
      </c>
      <c r="V93" s="12" t="s">
        <v>95</v>
      </c>
      <c r="W93" s="12" t="s">
        <v>46</v>
      </c>
      <c r="X93" s="12" t="s">
        <v>439</v>
      </c>
      <c r="Y93" s="45"/>
      <c r="Z93" s="45"/>
      <c r="AA93" s="45"/>
      <c r="AB93" s="45"/>
      <c r="AC93" s="6">
        <f t="shared" si="20"/>
        <v>0</v>
      </c>
      <c r="AD93" s="6" t="s">
        <v>871</v>
      </c>
      <c r="AE93" s="37"/>
    </row>
    <row r="94" spans="1:31" ht="35.1" customHeight="1" x14ac:dyDescent="0.2">
      <c r="A94" s="47" t="s">
        <v>245</v>
      </c>
      <c r="B94" s="46">
        <v>10247</v>
      </c>
      <c r="C94" s="48" t="s">
        <v>524</v>
      </c>
      <c r="D94" s="49" t="s">
        <v>28</v>
      </c>
      <c r="E94" s="45" t="s">
        <v>29</v>
      </c>
      <c r="F94" s="46" t="s">
        <v>65</v>
      </c>
      <c r="G94" s="46" t="s">
        <v>65</v>
      </c>
      <c r="H94" s="46" t="s">
        <v>206</v>
      </c>
      <c r="I94" s="46"/>
      <c r="J94" s="46" t="s">
        <v>438</v>
      </c>
      <c r="K94" s="46" t="s">
        <v>76</v>
      </c>
      <c r="L94" s="46" t="s">
        <v>47</v>
      </c>
      <c r="M94" s="46" t="s">
        <v>34</v>
      </c>
      <c r="N94" s="46" t="s">
        <v>45</v>
      </c>
      <c r="O94" s="46" t="s">
        <v>36</v>
      </c>
      <c r="P94" s="46" t="s">
        <v>37</v>
      </c>
      <c r="Q94" s="46" t="s">
        <v>37</v>
      </c>
      <c r="R94" s="45" t="s">
        <v>57</v>
      </c>
      <c r="S94" s="45" t="s">
        <v>241</v>
      </c>
      <c r="T94" s="45" t="s">
        <v>242</v>
      </c>
      <c r="U94" s="11" t="s">
        <v>380</v>
      </c>
      <c r="V94" s="12" t="s">
        <v>95</v>
      </c>
      <c r="W94" s="12" t="s">
        <v>46</v>
      </c>
      <c r="X94" s="12" t="s">
        <v>439</v>
      </c>
      <c r="Y94" s="45" t="str">
        <f>HYPERLINK("https://www.stromypodkontrolou.cz/map/tree/d41bce85-5010-4276-b929-4760db78c679/a7454edd-f2d1-4b01-94b9-26272a1d35f2")</f>
        <v>https://www.stromypodkontrolou.cz/map/tree/d41bce85-5010-4276-b929-4760db78c679/a7454edd-f2d1-4b01-94b9-26272a1d35f2</v>
      </c>
      <c r="Z94" s="45">
        <v>-762184.50561200001</v>
      </c>
      <c r="AA94" s="45">
        <v>-991045.82306700002</v>
      </c>
      <c r="AB94" s="45" t="str">
        <f>HYPERLINK("https://www.mapy.cz?st=search&amp;fr=50.52599374 14.05065134")</f>
        <v>https://www.mapy.cz?st=search&amp;fr=50.52599374 14.05065134</v>
      </c>
      <c r="AC94" s="6">
        <f t="shared" ref="AC94:AC95" si="21">(J94-K94)*L94</f>
        <v>312</v>
      </c>
      <c r="AD94" s="6" t="s">
        <v>871</v>
      </c>
      <c r="AE94" s="37"/>
    </row>
    <row r="95" spans="1:31" ht="35.1" customHeight="1" x14ac:dyDescent="0.2">
      <c r="A95" s="47"/>
      <c r="B95" s="46"/>
      <c r="C95" s="48"/>
      <c r="D95" s="49"/>
      <c r="E95" s="45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5"/>
      <c r="S95" s="45"/>
      <c r="T95" s="45"/>
      <c r="U95" s="11" t="s">
        <v>384</v>
      </c>
      <c r="V95" s="12" t="s">
        <v>95</v>
      </c>
      <c r="W95" s="12" t="s">
        <v>46</v>
      </c>
      <c r="X95" s="12" t="s">
        <v>388</v>
      </c>
      <c r="Y95" s="45"/>
      <c r="Z95" s="45"/>
      <c r="AA95" s="45"/>
      <c r="AB95" s="45"/>
      <c r="AC95" s="6">
        <f t="shared" si="21"/>
        <v>0</v>
      </c>
      <c r="AD95" s="6" t="s">
        <v>879</v>
      </c>
      <c r="AE95" s="37"/>
    </row>
    <row r="96" spans="1:31" ht="35.1" customHeight="1" x14ac:dyDescent="0.2">
      <c r="A96" s="47" t="s">
        <v>245</v>
      </c>
      <c r="B96" s="46">
        <v>10250</v>
      </c>
      <c r="C96" s="48" t="s">
        <v>525</v>
      </c>
      <c r="D96" s="49" t="s">
        <v>28</v>
      </c>
      <c r="E96" s="45" t="s">
        <v>29</v>
      </c>
      <c r="F96" s="46" t="s">
        <v>122</v>
      </c>
      <c r="G96" s="46" t="s">
        <v>193</v>
      </c>
      <c r="H96" s="46" t="s">
        <v>83</v>
      </c>
      <c r="I96" s="46"/>
      <c r="J96" s="46" t="s">
        <v>221</v>
      </c>
      <c r="K96" s="46" t="s">
        <v>103</v>
      </c>
      <c r="L96" s="46" t="s">
        <v>59</v>
      </c>
      <c r="M96" s="46" t="s">
        <v>34</v>
      </c>
      <c r="N96" s="46" t="s">
        <v>105</v>
      </c>
      <c r="O96" s="46" t="s">
        <v>46</v>
      </c>
      <c r="P96" s="46" t="s">
        <v>36</v>
      </c>
      <c r="Q96" s="46" t="s">
        <v>36</v>
      </c>
      <c r="R96" s="45" t="s">
        <v>526</v>
      </c>
      <c r="S96" s="45" t="s">
        <v>241</v>
      </c>
      <c r="T96" s="45" t="s">
        <v>242</v>
      </c>
      <c r="U96" s="11" t="s">
        <v>382</v>
      </c>
      <c r="V96" s="12" t="s">
        <v>95</v>
      </c>
      <c r="W96" s="12" t="s">
        <v>46</v>
      </c>
      <c r="X96" s="12"/>
      <c r="Y96" s="45" t="str">
        <f>HYPERLINK("https://www.stromypodkontrolou.cz/map/tree/d41bce85-5010-4276-b929-4760db78c679/d27e9d11-6862-45fa-974f-c586cb5b151c")</f>
        <v>https://www.stromypodkontrolou.cz/map/tree/d41bce85-5010-4276-b929-4760db78c679/d27e9d11-6862-45fa-974f-c586cb5b151c</v>
      </c>
      <c r="Z96" s="45">
        <v>-762204.90133000002</v>
      </c>
      <c r="AA96" s="45">
        <v>-991063.89249700005</v>
      </c>
      <c r="AB96" s="45" t="str">
        <f>HYPERLINK("https://www.mapy.cz?st=search&amp;fr=50.52580703 14.05040257")</f>
        <v>https://www.mapy.cz?st=search&amp;fr=50.52580703 14.05040257</v>
      </c>
      <c r="AC96" s="6">
        <f t="shared" ref="AC96:AC97" si="22">(J96-K96)*L96</f>
        <v>459</v>
      </c>
      <c r="AD96" s="6" t="s">
        <v>877</v>
      </c>
      <c r="AE96" s="37"/>
    </row>
    <row r="97" spans="1:31" ht="35.1" customHeight="1" x14ac:dyDescent="0.2">
      <c r="A97" s="47"/>
      <c r="B97" s="46"/>
      <c r="C97" s="48"/>
      <c r="D97" s="49"/>
      <c r="E97" s="45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5"/>
      <c r="S97" s="45"/>
      <c r="T97" s="45"/>
      <c r="U97" s="11" t="s">
        <v>380</v>
      </c>
      <c r="V97" s="12" t="s">
        <v>95</v>
      </c>
      <c r="W97" s="12" t="s">
        <v>46</v>
      </c>
      <c r="X97" s="12" t="s">
        <v>386</v>
      </c>
      <c r="Y97" s="45"/>
      <c r="Z97" s="45"/>
      <c r="AA97" s="45"/>
      <c r="AB97" s="45"/>
      <c r="AC97" s="6">
        <f t="shared" si="22"/>
        <v>0</v>
      </c>
      <c r="AD97" s="6" t="s">
        <v>871</v>
      </c>
      <c r="AE97" s="37"/>
    </row>
    <row r="98" spans="1:31" ht="35.1" customHeight="1" x14ac:dyDescent="0.2">
      <c r="A98" s="26" t="s">
        <v>245</v>
      </c>
      <c r="B98" s="12">
        <v>10256</v>
      </c>
      <c r="C98" s="13" t="s">
        <v>527</v>
      </c>
      <c r="D98" s="14" t="s">
        <v>28</v>
      </c>
      <c r="E98" s="11" t="s">
        <v>29</v>
      </c>
      <c r="F98" s="12" t="s">
        <v>218</v>
      </c>
      <c r="G98" s="12"/>
      <c r="H98" s="12"/>
      <c r="I98" s="12"/>
      <c r="J98" s="12" t="s">
        <v>161</v>
      </c>
      <c r="K98" s="12" t="s">
        <v>51</v>
      </c>
      <c r="L98" s="12" t="s">
        <v>104</v>
      </c>
      <c r="M98" s="12" t="s">
        <v>34</v>
      </c>
      <c r="N98" s="12" t="s">
        <v>45</v>
      </c>
      <c r="O98" s="12" t="s">
        <v>36</v>
      </c>
      <c r="P98" s="12" t="s">
        <v>36</v>
      </c>
      <c r="Q98" s="12" t="s">
        <v>36</v>
      </c>
      <c r="R98" s="11" t="s">
        <v>212</v>
      </c>
      <c r="S98" s="11" t="s">
        <v>241</v>
      </c>
      <c r="T98" s="11" t="s">
        <v>242</v>
      </c>
      <c r="U98" s="11" t="s">
        <v>382</v>
      </c>
      <c r="V98" s="12" t="s">
        <v>95</v>
      </c>
      <c r="W98" s="12" t="s">
        <v>46</v>
      </c>
      <c r="X98" s="12"/>
      <c r="Y98" s="11" t="str">
        <f>HYPERLINK("https://www.stromypodkontrolou.cz/map/tree/d41bce85-5010-4276-b929-4760db78c679/1c698992-3c3d-4dc5-bcf5-5b5ddf5c48a3")</f>
        <v>https://www.stromypodkontrolou.cz/map/tree/d41bce85-5010-4276-b929-4760db78c679/1c698992-3c3d-4dc5-bcf5-5b5ddf5c48a3</v>
      </c>
      <c r="Z98" s="11">
        <v>-762221.17874300003</v>
      </c>
      <c r="AA98" s="11">
        <v>-991076.49044299999</v>
      </c>
      <c r="AB98" s="11" t="str">
        <f>HYPERLINK("https://www.mapy.cz?st=search&amp;fr=50.52567424 14.05020040")</f>
        <v>https://www.mapy.cz?st=search&amp;fr=50.52567424 14.05020040</v>
      </c>
      <c r="AC98" s="6">
        <f t="shared" ref="AC98:AC99" si="23">(J98-K98)*L98</f>
        <v>220</v>
      </c>
      <c r="AD98" s="6" t="s">
        <v>870</v>
      </c>
      <c r="AE98" s="37"/>
    </row>
    <row r="99" spans="1:31" ht="35.1" customHeight="1" x14ac:dyDescent="0.2">
      <c r="A99" s="26" t="s">
        <v>245</v>
      </c>
      <c r="B99" s="12">
        <v>10257</v>
      </c>
      <c r="C99" s="13" t="s">
        <v>528</v>
      </c>
      <c r="D99" s="14" t="s">
        <v>28</v>
      </c>
      <c r="E99" s="11" t="s">
        <v>29</v>
      </c>
      <c r="F99" s="12" t="s">
        <v>234</v>
      </c>
      <c r="G99" s="12"/>
      <c r="H99" s="12"/>
      <c r="I99" s="12"/>
      <c r="J99" s="12" t="s">
        <v>438</v>
      </c>
      <c r="K99" s="12" t="s">
        <v>144</v>
      </c>
      <c r="L99" s="12" t="s">
        <v>136</v>
      </c>
      <c r="M99" s="12" t="s">
        <v>34</v>
      </c>
      <c r="N99" s="12" t="s">
        <v>105</v>
      </c>
      <c r="O99" s="12" t="s">
        <v>36</v>
      </c>
      <c r="P99" s="12" t="s">
        <v>36</v>
      </c>
      <c r="Q99" s="12" t="s">
        <v>36</v>
      </c>
      <c r="R99" s="11"/>
      <c r="S99" s="11" t="s">
        <v>241</v>
      </c>
      <c r="T99" s="11" t="s">
        <v>242</v>
      </c>
      <c r="U99" s="11" t="s">
        <v>380</v>
      </c>
      <c r="V99" s="12" t="s">
        <v>95</v>
      </c>
      <c r="W99" s="12" t="s">
        <v>46</v>
      </c>
      <c r="X99" s="12" t="s">
        <v>439</v>
      </c>
      <c r="Y99" s="11" t="str">
        <f>HYPERLINK("https://www.stromypodkontrolou.cz/map/tree/d41bce85-5010-4276-b929-4760db78c679/eaefa9ea-98fc-411b-a086-53b49935a1ae")</f>
        <v>https://www.stromypodkontrolou.cz/map/tree/d41bce85-5010-4276-b929-4760db78c679/eaefa9ea-98fc-411b-a086-53b49935a1ae</v>
      </c>
      <c r="Z99" s="11">
        <v>-762223.89058600005</v>
      </c>
      <c r="AA99" s="11">
        <v>-991078.49844899995</v>
      </c>
      <c r="AB99" s="11" t="str">
        <f>HYPERLINK("https://www.mapy.cz?st=search&amp;fr=50.52565292 14.05016653")</f>
        <v>https://www.mapy.cz?st=search&amp;fr=50.52565292 14.05016653</v>
      </c>
      <c r="AC99" s="6">
        <f t="shared" si="23"/>
        <v>350</v>
      </c>
      <c r="AD99" s="6" t="s">
        <v>871</v>
      </c>
      <c r="AE99" s="37"/>
    </row>
    <row r="100" spans="1:31" ht="35.1" customHeight="1" x14ac:dyDescent="0.2">
      <c r="A100" s="47" t="s">
        <v>245</v>
      </c>
      <c r="B100" s="46">
        <v>10264</v>
      </c>
      <c r="C100" s="48" t="s">
        <v>529</v>
      </c>
      <c r="D100" s="49" t="s">
        <v>28</v>
      </c>
      <c r="E100" s="45" t="s">
        <v>29</v>
      </c>
      <c r="F100" s="46" t="s">
        <v>120</v>
      </c>
      <c r="G100" s="46" t="s">
        <v>77</v>
      </c>
      <c r="H100" s="46" t="s">
        <v>82</v>
      </c>
      <c r="I100" s="46"/>
      <c r="J100" s="46" t="s">
        <v>438</v>
      </c>
      <c r="K100" s="46" t="s">
        <v>113</v>
      </c>
      <c r="L100" s="46" t="s">
        <v>94</v>
      </c>
      <c r="M100" s="46" t="s">
        <v>34</v>
      </c>
      <c r="N100" s="46" t="s">
        <v>105</v>
      </c>
      <c r="O100" s="46" t="s">
        <v>36</v>
      </c>
      <c r="P100" s="46" t="s">
        <v>36</v>
      </c>
      <c r="Q100" s="46" t="s">
        <v>36</v>
      </c>
      <c r="R100" s="45" t="s">
        <v>155</v>
      </c>
      <c r="S100" s="45" t="s">
        <v>241</v>
      </c>
      <c r="T100" s="45" t="s">
        <v>242</v>
      </c>
      <c r="U100" s="11" t="s">
        <v>382</v>
      </c>
      <c r="V100" s="12" t="s">
        <v>95</v>
      </c>
      <c r="W100" s="12" t="s">
        <v>46</v>
      </c>
      <c r="X100" s="12"/>
      <c r="Y100" s="45" t="str">
        <f>HYPERLINK("https://www.stromypodkontrolou.cz/map/tree/d41bce85-5010-4276-b929-4760db78c679/c1da0755-7ccc-4417-a7c4-746ec349ac07")</f>
        <v>https://www.stromypodkontrolou.cz/map/tree/d41bce85-5010-4276-b929-4760db78c679/c1da0755-7ccc-4417-a7c4-746ec349ac07</v>
      </c>
      <c r="Z100" s="45">
        <v>-762235.04228000005</v>
      </c>
      <c r="AA100" s="45">
        <v>-991089.33694800001</v>
      </c>
      <c r="AB100" s="45" t="str">
        <f>HYPERLINK("https://www.mapy.cz?st=search&amp;fr=50.52554230 14.05003242")</f>
        <v>https://www.mapy.cz?st=search&amp;fr=50.52554230 14.05003242</v>
      </c>
      <c r="AC100" s="6">
        <f t="shared" ref="AC100:AC104" si="24">(J100-K100)*L100</f>
        <v>351</v>
      </c>
      <c r="AD100" s="6" t="s">
        <v>875</v>
      </c>
      <c r="AE100" s="37"/>
    </row>
    <row r="101" spans="1:31" ht="35.1" customHeight="1" x14ac:dyDescent="0.2">
      <c r="A101" s="47"/>
      <c r="B101" s="46"/>
      <c r="C101" s="48"/>
      <c r="D101" s="49"/>
      <c r="E101" s="45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5"/>
      <c r="S101" s="45"/>
      <c r="T101" s="45"/>
      <c r="U101" s="11" t="s">
        <v>380</v>
      </c>
      <c r="V101" s="12" t="s">
        <v>95</v>
      </c>
      <c r="W101" s="12" t="s">
        <v>46</v>
      </c>
      <c r="X101" s="12" t="s">
        <v>439</v>
      </c>
      <c r="Y101" s="45"/>
      <c r="Z101" s="45"/>
      <c r="AA101" s="45"/>
      <c r="AB101" s="45"/>
      <c r="AC101" s="6">
        <f t="shared" si="24"/>
        <v>0</v>
      </c>
      <c r="AD101" s="6" t="s">
        <v>871</v>
      </c>
      <c r="AE101" s="37"/>
    </row>
    <row r="102" spans="1:31" ht="35.1" customHeight="1" x14ac:dyDescent="0.2">
      <c r="A102" s="26" t="s">
        <v>245</v>
      </c>
      <c r="B102" s="12">
        <v>10266</v>
      </c>
      <c r="C102" s="13" t="s">
        <v>530</v>
      </c>
      <c r="D102" s="14" t="s">
        <v>28</v>
      </c>
      <c r="E102" s="11" t="s">
        <v>29</v>
      </c>
      <c r="F102" s="12" t="s">
        <v>92</v>
      </c>
      <c r="G102" s="12" t="s">
        <v>124</v>
      </c>
      <c r="H102" s="12" t="s">
        <v>238</v>
      </c>
      <c r="I102" s="12"/>
      <c r="J102" s="12" t="s">
        <v>221</v>
      </c>
      <c r="K102" s="12" t="s">
        <v>32</v>
      </c>
      <c r="L102" s="12" t="s">
        <v>104</v>
      </c>
      <c r="M102" s="12" t="s">
        <v>34</v>
      </c>
      <c r="N102" s="12" t="s">
        <v>45</v>
      </c>
      <c r="O102" s="12" t="s">
        <v>36</v>
      </c>
      <c r="P102" s="12" t="s">
        <v>36</v>
      </c>
      <c r="Q102" s="12" t="s">
        <v>37</v>
      </c>
      <c r="R102" s="11" t="s">
        <v>358</v>
      </c>
      <c r="S102" s="11" t="s">
        <v>241</v>
      </c>
      <c r="T102" s="11" t="s">
        <v>242</v>
      </c>
      <c r="U102" s="11" t="s">
        <v>382</v>
      </c>
      <c r="V102" s="12" t="s">
        <v>95</v>
      </c>
      <c r="W102" s="12" t="s">
        <v>46</v>
      </c>
      <c r="X102" s="12"/>
      <c r="Y102" s="11" t="str">
        <f>HYPERLINK("https://www.stromypodkontrolou.cz/map/tree/d41bce85-5010-4276-b929-4760db78c679/6dd24ce5-018b-4453-8273-a0ec2d7a5ffc")</f>
        <v>https://www.stromypodkontrolou.cz/map/tree/d41bce85-5010-4276-b929-4760db78c679/6dd24ce5-018b-4453-8273-a0ec2d7a5ffc</v>
      </c>
      <c r="Z102" s="11">
        <v>-762243.60978000006</v>
      </c>
      <c r="AA102" s="11">
        <v>-991098.38872799999</v>
      </c>
      <c r="AB102" s="11" t="str">
        <f>HYPERLINK("https://www.mapy.cz?st=search&amp;fr=50.52545086 14.04993083")</f>
        <v>https://www.mapy.cz?st=search&amp;fr=50.52545086 14.04993083</v>
      </c>
      <c r="AC102" s="6">
        <f t="shared" si="24"/>
        <v>286</v>
      </c>
      <c r="AD102" s="6" t="s">
        <v>875</v>
      </c>
      <c r="AE102" s="37"/>
    </row>
    <row r="103" spans="1:31" ht="35.1" customHeight="1" x14ac:dyDescent="0.2">
      <c r="A103" s="47" t="s">
        <v>245</v>
      </c>
      <c r="B103" s="46">
        <v>10267</v>
      </c>
      <c r="C103" s="48" t="s">
        <v>531</v>
      </c>
      <c r="D103" s="49" t="s">
        <v>28</v>
      </c>
      <c r="E103" s="45" t="s">
        <v>29</v>
      </c>
      <c r="F103" s="46" t="s">
        <v>532</v>
      </c>
      <c r="G103" s="46" t="s">
        <v>69</v>
      </c>
      <c r="H103" s="46"/>
      <c r="I103" s="46"/>
      <c r="J103" s="46" t="s">
        <v>221</v>
      </c>
      <c r="K103" s="46" t="s">
        <v>32</v>
      </c>
      <c r="L103" s="46" t="s">
        <v>104</v>
      </c>
      <c r="M103" s="46" t="s">
        <v>34</v>
      </c>
      <c r="N103" s="46" t="s">
        <v>35</v>
      </c>
      <c r="O103" s="46" t="s">
        <v>36</v>
      </c>
      <c r="P103" s="46" t="s">
        <v>37</v>
      </c>
      <c r="Q103" s="46" t="s">
        <v>37</v>
      </c>
      <c r="R103" s="45" t="s">
        <v>533</v>
      </c>
      <c r="S103" s="45" t="s">
        <v>241</v>
      </c>
      <c r="T103" s="45" t="s">
        <v>242</v>
      </c>
      <c r="U103" s="11" t="s">
        <v>384</v>
      </c>
      <c r="V103" s="12" t="s">
        <v>95</v>
      </c>
      <c r="W103" s="12" t="s">
        <v>46</v>
      </c>
      <c r="X103" s="12" t="s">
        <v>388</v>
      </c>
      <c r="Y103" s="45" t="str">
        <f>HYPERLINK("https://www.stromypodkontrolou.cz/map/tree/d41bce85-5010-4276-b929-4760db78c679/f58499fd-40e3-467f-85c4-d3c2b45b4ce8")</f>
        <v>https://www.stromypodkontrolou.cz/map/tree/d41bce85-5010-4276-b929-4760db78c679/f58499fd-40e3-467f-85c4-d3c2b45b4ce8</v>
      </c>
      <c r="Z103" s="45">
        <v>-762244.11692299997</v>
      </c>
      <c r="AA103" s="45">
        <v>-991099.25037999998</v>
      </c>
      <c r="AB103" s="45" t="str">
        <f>HYPERLINK("https://www.mapy.cz?st=search&amp;fr=50.52544255 14.04992547")</f>
        <v>https://www.mapy.cz?st=search&amp;fr=50.52544255 14.04992547</v>
      </c>
      <c r="AC103" s="6">
        <f t="shared" si="24"/>
        <v>286</v>
      </c>
      <c r="AD103" s="6" t="s">
        <v>879</v>
      </c>
      <c r="AE103" s="37"/>
    </row>
    <row r="104" spans="1:31" ht="35.1" customHeight="1" x14ac:dyDescent="0.2">
      <c r="A104" s="47"/>
      <c r="B104" s="46"/>
      <c r="C104" s="48"/>
      <c r="D104" s="49"/>
      <c r="E104" s="45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5"/>
      <c r="S104" s="45"/>
      <c r="T104" s="45"/>
      <c r="U104" s="11" t="s">
        <v>382</v>
      </c>
      <c r="V104" s="12" t="s">
        <v>95</v>
      </c>
      <c r="W104" s="12" t="s">
        <v>46</v>
      </c>
      <c r="X104" s="12"/>
      <c r="Y104" s="45"/>
      <c r="Z104" s="45"/>
      <c r="AA104" s="45"/>
      <c r="AB104" s="45"/>
      <c r="AC104" s="6">
        <f t="shared" si="24"/>
        <v>0</v>
      </c>
      <c r="AD104" s="6" t="s">
        <v>875</v>
      </c>
      <c r="AE104" s="37"/>
    </row>
    <row r="105" spans="1:31" ht="35.1" customHeight="1" x14ac:dyDescent="0.2">
      <c r="A105" s="26" t="s">
        <v>249</v>
      </c>
      <c r="B105" s="12">
        <v>10273</v>
      </c>
      <c r="C105" s="13" t="s">
        <v>534</v>
      </c>
      <c r="D105" s="14" t="s">
        <v>28</v>
      </c>
      <c r="E105" s="11" t="s">
        <v>29</v>
      </c>
      <c r="F105" s="12" t="s">
        <v>122</v>
      </c>
      <c r="G105" s="12" t="s">
        <v>219</v>
      </c>
      <c r="H105" s="12" t="s">
        <v>70</v>
      </c>
      <c r="I105" s="12" t="s">
        <v>227</v>
      </c>
      <c r="J105" s="12" t="s">
        <v>117</v>
      </c>
      <c r="K105" s="12" t="s">
        <v>32</v>
      </c>
      <c r="L105" s="12" t="s">
        <v>118</v>
      </c>
      <c r="M105" s="12" t="s">
        <v>34</v>
      </c>
      <c r="N105" s="12" t="s">
        <v>105</v>
      </c>
      <c r="O105" s="12" t="s">
        <v>36</v>
      </c>
      <c r="P105" s="12" t="s">
        <v>36</v>
      </c>
      <c r="Q105" s="12" t="s">
        <v>37</v>
      </c>
      <c r="R105" s="11" t="s">
        <v>535</v>
      </c>
      <c r="S105" s="11" t="s">
        <v>248</v>
      </c>
      <c r="T105" s="11" t="s">
        <v>250</v>
      </c>
      <c r="U105" s="11" t="s">
        <v>380</v>
      </c>
      <c r="V105" s="12" t="s">
        <v>95</v>
      </c>
      <c r="W105" s="12" t="s">
        <v>46</v>
      </c>
      <c r="X105" s="12" t="s">
        <v>439</v>
      </c>
      <c r="Y105" s="11" t="str">
        <f>HYPERLINK("https://www.stromypodkontrolou.cz/map/tree/d41bce85-5010-4276-b929-4760db78c679/3fcb229e-076e-4f42-bb7e-1f0bfeb1d9d3")</f>
        <v>https://www.stromypodkontrolou.cz/map/tree/d41bce85-5010-4276-b929-4760db78c679/3fcb229e-076e-4f42-bb7e-1f0bfeb1d9d3</v>
      </c>
      <c r="Z105" s="11">
        <v>-762438.04972000001</v>
      </c>
      <c r="AA105" s="11">
        <v>-991450.12919799995</v>
      </c>
      <c r="AB105" s="11" t="str">
        <f>HYPERLINK("https://www.mapy.cz?st=search&amp;fr=50.52207342 14.04791683")</f>
        <v>https://www.mapy.cz?st=search&amp;fr=50.52207342 14.04791683</v>
      </c>
      <c r="AC105" s="6">
        <f t="shared" ref="AC105:AC109" si="25">(J105-K105)*L105</f>
        <v>270</v>
      </c>
      <c r="AD105" s="6" t="s">
        <v>871</v>
      </c>
      <c r="AE105" s="37"/>
    </row>
    <row r="106" spans="1:31" ht="35.1" customHeight="1" x14ac:dyDescent="0.2">
      <c r="A106" s="26" t="s">
        <v>249</v>
      </c>
      <c r="B106" s="12">
        <v>10277</v>
      </c>
      <c r="C106" s="13" t="s">
        <v>536</v>
      </c>
      <c r="D106" s="14" t="s">
        <v>28</v>
      </c>
      <c r="E106" s="11" t="s">
        <v>29</v>
      </c>
      <c r="F106" s="12" t="s">
        <v>263</v>
      </c>
      <c r="G106" s="12"/>
      <c r="H106" s="12"/>
      <c r="I106" s="12"/>
      <c r="J106" s="12" t="s">
        <v>226</v>
      </c>
      <c r="K106" s="12" t="s">
        <v>99</v>
      </c>
      <c r="L106" s="12" t="s">
        <v>136</v>
      </c>
      <c r="M106" s="12" t="s">
        <v>34</v>
      </c>
      <c r="N106" s="12" t="s">
        <v>105</v>
      </c>
      <c r="O106" s="12" t="s">
        <v>46</v>
      </c>
      <c r="P106" s="12" t="s">
        <v>36</v>
      </c>
      <c r="Q106" s="12" t="s">
        <v>36</v>
      </c>
      <c r="R106" s="11" t="s">
        <v>159</v>
      </c>
      <c r="S106" s="11" t="s">
        <v>248</v>
      </c>
      <c r="T106" s="11" t="s">
        <v>252</v>
      </c>
      <c r="U106" s="11" t="s">
        <v>382</v>
      </c>
      <c r="V106" s="12" t="s">
        <v>95</v>
      </c>
      <c r="W106" s="12" t="s">
        <v>46</v>
      </c>
      <c r="X106" s="12"/>
      <c r="Y106" s="11" t="str">
        <f>HYPERLINK("https://www.stromypodkontrolou.cz/map/tree/d41bce85-5010-4276-b929-4760db78c679/6c3ca3d7-e2d0-4103-9b28-62f18091e447")</f>
        <v>https://www.stromypodkontrolou.cz/map/tree/d41bce85-5010-4276-b929-4760db78c679/6c3ca3d7-e2d0-4103-9b28-62f18091e447</v>
      </c>
      <c r="Z106" s="11">
        <v>-762416.64791299996</v>
      </c>
      <c r="AA106" s="11">
        <v>-991356.68726799998</v>
      </c>
      <c r="AB106" s="11" t="str">
        <f>HYPERLINK("https://www.mapy.cz?st=search&amp;fr=50.52293225 14.04802948")</f>
        <v>https://www.mapy.cz?st=search&amp;fr=50.52293225 14.04802948</v>
      </c>
      <c r="AC106" s="6">
        <f t="shared" si="25"/>
        <v>350</v>
      </c>
      <c r="AD106" s="6" t="s">
        <v>875</v>
      </c>
      <c r="AE106" s="37"/>
    </row>
    <row r="107" spans="1:31" ht="35.1" customHeight="1" x14ac:dyDescent="0.2">
      <c r="A107" s="26" t="s">
        <v>249</v>
      </c>
      <c r="B107" s="12">
        <v>10279</v>
      </c>
      <c r="C107" s="13" t="s">
        <v>537</v>
      </c>
      <c r="D107" s="14" t="s">
        <v>28</v>
      </c>
      <c r="E107" s="11" t="s">
        <v>29</v>
      </c>
      <c r="F107" s="12" t="s">
        <v>82</v>
      </c>
      <c r="G107" s="12" t="s">
        <v>204</v>
      </c>
      <c r="H107" s="12"/>
      <c r="I107" s="12"/>
      <c r="J107" s="12" t="s">
        <v>79</v>
      </c>
      <c r="K107" s="12" t="s">
        <v>103</v>
      </c>
      <c r="L107" s="12" t="s">
        <v>50</v>
      </c>
      <c r="M107" s="12" t="s">
        <v>37</v>
      </c>
      <c r="N107" s="12" t="s">
        <v>45</v>
      </c>
      <c r="O107" s="12" t="s">
        <v>36</v>
      </c>
      <c r="P107" s="12" t="s">
        <v>36</v>
      </c>
      <c r="Q107" s="12" t="s">
        <v>37</v>
      </c>
      <c r="R107" s="11" t="s">
        <v>183</v>
      </c>
      <c r="S107" s="11" t="s">
        <v>248</v>
      </c>
      <c r="T107" s="11" t="s">
        <v>253</v>
      </c>
      <c r="U107" s="11" t="s">
        <v>382</v>
      </c>
      <c r="V107" s="12" t="s">
        <v>95</v>
      </c>
      <c r="W107" s="12" t="s">
        <v>46</v>
      </c>
      <c r="X107" s="12"/>
      <c r="Y107" s="11" t="str">
        <f>HYPERLINK("https://www.stromypodkontrolou.cz/map/tree/d41bce85-5010-4276-b929-4760db78c679/8660fb07-8060-4605-ad67-31c9985904b1")</f>
        <v>https://www.stromypodkontrolou.cz/map/tree/d41bce85-5010-4276-b929-4760db78c679/8660fb07-8060-4605-ad67-31c9985904b1</v>
      </c>
      <c r="Z107" s="11">
        <v>-762402.19570000004</v>
      </c>
      <c r="AA107" s="11">
        <v>-991318.17811400001</v>
      </c>
      <c r="AB107" s="11" t="str">
        <f>HYPERLINK("https://www.mapy.cz?st=search&amp;fr=50.52329334 14.04815454")</f>
        <v>https://www.mapy.cz?st=search&amp;fr=50.52329334 14.04815454</v>
      </c>
      <c r="AC107" s="6">
        <f t="shared" si="25"/>
        <v>63</v>
      </c>
      <c r="AD107" s="6" t="s">
        <v>870</v>
      </c>
      <c r="AE107" s="37"/>
    </row>
    <row r="108" spans="1:31" ht="35.1" customHeight="1" x14ac:dyDescent="0.2">
      <c r="A108" s="26" t="s">
        <v>249</v>
      </c>
      <c r="B108" s="12">
        <v>10281</v>
      </c>
      <c r="C108" s="13" t="s">
        <v>538</v>
      </c>
      <c r="D108" s="14" t="s">
        <v>28</v>
      </c>
      <c r="E108" s="11" t="s">
        <v>29</v>
      </c>
      <c r="F108" s="12" t="s">
        <v>69</v>
      </c>
      <c r="G108" s="12"/>
      <c r="H108" s="12"/>
      <c r="I108" s="12"/>
      <c r="J108" s="12" t="s">
        <v>66</v>
      </c>
      <c r="K108" s="12" t="s">
        <v>61</v>
      </c>
      <c r="L108" s="12" t="s">
        <v>44</v>
      </c>
      <c r="M108" s="12" t="s">
        <v>37</v>
      </c>
      <c r="N108" s="12" t="s">
        <v>45</v>
      </c>
      <c r="O108" s="12" t="s">
        <v>46</v>
      </c>
      <c r="P108" s="12" t="s">
        <v>36</v>
      </c>
      <c r="Q108" s="12" t="s">
        <v>37</v>
      </c>
      <c r="R108" s="11" t="s">
        <v>251</v>
      </c>
      <c r="S108" s="11" t="s">
        <v>248</v>
      </c>
      <c r="T108" s="11" t="s">
        <v>253</v>
      </c>
      <c r="U108" s="11" t="s">
        <v>432</v>
      </c>
      <c r="V108" s="12" t="s">
        <v>37</v>
      </c>
      <c r="W108" s="12" t="s">
        <v>46</v>
      </c>
      <c r="X108" s="12"/>
      <c r="Y108" s="11" t="str">
        <f>HYPERLINK("https://www.stromypodkontrolou.cz/map/tree/d41bce85-5010-4276-b929-4760db78c679/61c17576-d08f-4dd3-9b79-5c8a3b9852d9")</f>
        <v>https://www.stromypodkontrolou.cz/map/tree/d41bce85-5010-4276-b929-4760db78c679/61c17576-d08f-4dd3-9b79-5c8a3b9852d9</v>
      </c>
      <c r="Z108" s="11">
        <v>-762395.77587799996</v>
      </c>
      <c r="AA108" s="11">
        <v>-991303.143515</v>
      </c>
      <c r="AB108" s="11" t="str">
        <f>HYPERLINK("https://www.mapy.cz?st=search&amp;fr=50.52343530 14.04821422")</f>
        <v>https://www.mapy.cz?st=search&amp;fr=50.52343530 14.04821422</v>
      </c>
      <c r="AC108" s="6">
        <f t="shared" si="25"/>
        <v>78</v>
      </c>
      <c r="AD108" s="6" t="s">
        <v>873</v>
      </c>
      <c r="AE108" s="37"/>
    </row>
    <row r="109" spans="1:31" ht="35.1" customHeight="1" x14ac:dyDescent="0.2">
      <c r="A109" s="26" t="s">
        <v>254</v>
      </c>
      <c r="B109" s="12">
        <v>16121</v>
      </c>
      <c r="C109" s="13" t="s">
        <v>539</v>
      </c>
      <c r="D109" s="14" t="s">
        <v>39</v>
      </c>
      <c r="E109" s="11" t="s">
        <v>40</v>
      </c>
      <c r="F109" s="12" t="s">
        <v>520</v>
      </c>
      <c r="G109" s="12"/>
      <c r="H109" s="12"/>
      <c r="I109" s="12"/>
      <c r="J109" s="12" t="s">
        <v>117</v>
      </c>
      <c r="K109" s="12" t="s">
        <v>32</v>
      </c>
      <c r="L109" s="12" t="s">
        <v>136</v>
      </c>
      <c r="M109" s="12" t="s">
        <v>34</v>
      </c>
      <c r="N109" s="12" t="s">
        <v>45</v>
      </c>
      <c r="O109" s="12" t="s">
        <v>36</v>
      </c>
      <c r="P109" s="12" t="s">
        <v>34</v>
      </c>
      <c r="Q109" s="12" t="s">
        <v>34</v>
      </c>
      <c r="R109" s="11" t="s">
        <v>540</v>
      </c>
      <c r="S109" s="11" t="s">
        <v>248</v>
      </c>
      <c r="T109" s="11" t="s">
        <v>256</v>
      </c>
      <c r="U109" s="11" t="s">
        <v>380</v>
      </c>
      <c r="V109" s="12" t="s">
        <v>95</v>
      </c>
      <c r="W109" s="12" t="s">
        <v>46</v>
      </c>
      <c r="X109" s="12" t="s">
        <v>541</v>
      </c>
      <c r="Y109" s="11" t="str">
        <f>HYPERLINK("https://www.stromypodkontrolou.cz/map/tree/d41bce85-5010-4276-b929-4760db78c679/7ff6ec80-725f-417b-9e2b-ee65a05ada9e")</f>
        <v>https://www.stromypodkontrolou.cz/map/tree/d41bce85-5010-4276-b929-4760db78c679/7ff6ec80-725f-417b-9e2b-ee65a05ada9e</v>
      </c>
      <c r="Z109" s="11">
        <v>-760728.72556699999</v>
      </c>
      <c r="AA109" s="11">
        <v>-992446.664062</v>
      </c>
      <c r="AB109" s="11" t="str">
        <f>HYPERLINK("https://www.mapy.cz?st=search&amp;fr=50.51537197 14.07376159")</f>
        <v>https://www.mapy.cz?st=search&amp;fr=50.51537197 14.07376159</v>
      </c>
      <c r="AC109" s="6">
        <f t="shared" si="25"/>
        <v>252</v>
      </c>
      <c r="AD109" s="6" t="s">
        <v>871</v>
      </c>
      <c r="AE109" s="37"/>
    </row>
    <row r="110" spans="1:31" ht="54.75" customHeight="1" x14ac:dyDescent="0.2">
      <c r="A110" s="26" t="s">
        <v>254</v>
      </c>
      <c r="B110" s="12">
        <v>16131</v>
      </c>
      <c r="C110" s="13" t="s">
        <v>543</v>
      </c>
      <c r="D110" s="14" t="s">
        <v>39</v>
      </c>
      <c r="E110" s="11" t="s">
        <v>40</v>
      </c>
      <c r="F110" s="12" t="s">
        <v>152</v>
      </c>
      <c r="G110" s="12"/>
      <c r="H110" s="12"/>
      <c r="I110" s="12"/>
      <c r="J110" s="12" t="s">
        <v>56</v>
      </c>
      <c r="K110" s="12" t="s">
        <v>112</v>
      </c>
      <c r="L110" s="12" t="s">
        <v>44</v>
      </c>
      <c r="M110" s="12" t="s">
        <v>34</v>
      </c>
      <c r="N110" s="12" t="s">
        <v>45</v>
      </c>
      <c r="O110" s="12" t="s">
        <v>36</v>
      </c>
      <c r="P110" s="12" t="s">
        <v>36</v>
      </c>
      <c r="Q110" s="12" t="s">
        <v>37</v>
      </c>
      <c r="R110" s="11" t="s">
        <v>544</v>
      </c>
      <c r="S110" s="11" t="s">
        <v>248</v>
      </c>
      <c r="T110" s="11" t="s">
        <v>256</v>
      </c>
      <c r="U110" s="11" t="s">
        <v>382</v>
      </c>
      <c r="V110" s="12" t="s">
        <v>95</v>
      </c>
      <c r="W110" s="12" t="s">
        <v>46</v>
      </c>
      <c r="X110" s="12"/>
      <c r="Y110" s="11" t="str">
        <f>HYPERLINK("https://www.stromypodkontrolou.cz/map/tree/d41bce85-5010-4276-b929-4760db78c679/1b8743df-a7ef-4011-b875-fced6ef00931")</f>
        <v>https://www.stromypodkontrolou.cz/map/tree/d41bce85-5010-4276-b929-4760db78c679/1b8743df-a7ef-4011-b875-fced6ef00931</v>
      </c>
      <c r="Z110" s="11">
        <v>-760676.25558800006</v>
      </c>
      <c r="AA110" s="11">
        <v>-992424.78999399999</v>
      </c>
      <c r="AB110" s="11" t="str">
        <f>HYPERLINK("https://www.mapy.cz?st=search&amp;fr=50.51563313 14.07445058")</f>
        <v>https://www.mapy.cz?st=search&amp;fr=50.51563313 14.07445058</v>
      </c>
      <c r="AC110" s="6">
        <f>(J110-K110)*L110</f>
        <v>30</v>
      </c>
      <c r="AD110" s="6" t="s">
        <v>870</v>
      </c>
      <c r="AE110" s="37"/>
    </row>
    <row r="111" spans="1:31" ht="35.1" customHeight="1" x14ac:dyDescent="0.2">
      <c r="A111" s="26" t="s">
        <v>254</v>
      </c>
      <c r="B111" s="12">
        <v>16166</v>
      </c>
      <c r="C111" s="13" t="s">
        <v>545</v>
      </c>
      <c r="D111" s="14" t="s">
        <v>28</v>
      </c>
      <c r="E111" s="11" t="s">
        <v>29</v>
      </c>
      <c r="F111" s="12" t="s">
        <v>546</v>
      </c>
      <c r="G111" s="12"/>
      <c r="H111" s="12"/>
      <c r="I111" s="12"/>
      <c r="J111" s="12" t="s">
        <v>31</v>
      </c>
      <c r="K111" s="12" t="s">
        <v>32</v>
      </c>
      <c r="L111" s="12" t="s">
        <v>59</v>
      </c>
      <c r="M111" s="12" t="s">
        <v>95</v>
      </c>
      <c r="N111" s="12" t="s">
        <v>105</v>
      </c>
      <c r="O111" s="12" t="s">
        <v>46</v>
      </c>
      <c r="P111" s="12" t="s">
        <v>36</v>
      </c>
      <c r="Q111" s="12" t="s">
        <v>36</v>
      </c>
      <c r="R111" s="11" t="s">
        <v>547</v>
      </c>
      <c r="S111" s="11" t="s">
        <v>248</v>
      </c>
      <c r="T111" s="11" t="s">
        <v>256</v>
      </c>
      <c r="U111" s="11" t="s">
        <v>384</v>
      </c>
      <c r="V111" s="12" t="s">
        <v>95</v>
      </c>
      <c r="W111" s="12" t="s">
        <v>46</v>
      </c>
      <c r="X111" s="12" t="s">
        <v>388</v>
      </c>
      <c r="Y111" s="11" t="str">
        <f>HYPERLINK("https://www.stromypodkontrolou.cz/map/tree/d41bce85-5010-4276-b929-4760db78c679/498a32ce-bad1-4428-9377-faa5bfc3959a")</f>
        <v>https://www.stromypodkontrolou.cz/map/tree/d41bce85-5010-4276-b929-4760db78c679/498a32ce-bad1-4428-9377-faa5bfc3959a</v>
      </c>
      <c r="Z111" s="11">
        <v>-760706.05559</v>
      </c>
      <c r="AA111" s="11">
        <v>-992450.05966799997</v>
      </c>
      <c r="AB111" s="11" t="str">
        <f>HYPERLINK("https://www.mapy.cz?st=search&amp;fr=50.51537047 14.07408480")</f>
        <v>https://www.mapy.cz?st=search&amp;fr=50.51537047 14.07408480</v>
      </c>
      <c r="AC111" s="6">
        <f>(J111-K111)*L111</f>
        <v>357</v>
      </c>
      <c r="AD111" s="6" t="s">
        <v>879</v>
      </c>
      <c r="AE111" s="37"/>
    </row>
    <row r="112" spans="1:31" ht="35.1" customHeight="1" x14ac:dyDescent="0.2">
      <c r="A112" s="26" t="s">
        <v>267</v>
      </c>
      <c r="B112" s="12">
        <v>2</v>
      </c>
      <c r="C112" s="13" t="s">
        <v>550</v>
      </c>
      <c r="D112" s="14" t="s">
        <v>232</v>
      </c>
      <c r="E112" s="11" t="s">
        <v>233</v>
      </c>
      <c r="F112" s="12" t="s">
        <v>162</v>
      </c>
      <c r="G112" s="12"/>
      <c r="H112" s="12"/>
      <c r="I112" s="12"/>
      <c r="J112" s="12" t="s">
        <v>112</v>
      </c>
      <c r="K112" s="12" t="s">
        <v>80</v>
      </c>
      <c r="L112" s="12" t="s">
        <v>47</v>
      </c>
      <c r="M112" s="12" t="s">
        <v>34</v>
      </c>
      <c r="N112" s="12" t="s">
        <v>45</v>
      </c>
      <c r="O112" s="12" t="s">
        <v>37</v>
      </c>
      <c r="P112" s="12" t="s">
        <v>34</v>
      </c>
      <c r="Q112" s="12" t="s">
        <v>34</v>
      </c>
      <c r="R112" s="11" t="s">
        <v>214</v>
      </c>
      <c r="S112" s="11" t="s">
        <v>223</v>
      </c>
      <c r="T112" s="11" t="s">
        <v>271</v>
      </c>
      <c r="U112" s="11" t="s">
        <v>384</v>
      </c>
      <c r="V112" s="12" t="s">
        <v>95</v>
      </c>
      <c r="W112" s="12" t="s">
        <v>46</v>
      </c>
      <c r="X112" s="12" t="s">
        <v>403</v>
      </c>
      <c r="Y112" s="11" t="str">
        <f>HYPERLINK("https://www.stromypodkontrolou.cz/map/tree/d41bce85-5010-4276-b929-4760db78c679/5b9e1bf9-3b2b-4e6a-88f9-a1cb56728938")</f>
        <v>https://www.stromypodkontrolou.cz/map/tree/d41bce85-5010-4276-b929-4760db78c679/5b9e1bf9-3b2b-4e6a-88f9-a1cb56728938</v>
      </c>
      <c r="Z112" s="11">
        <v>-760341.72391399997</v>
      </c>
      <c r="AA112" s="11">
        <v>-992329.46733999997</v>
      </c>
      <c r="AB112" s="11" t="str">
        <f>HYPERLINK("https://www.mapy.cz?st=search&amp;fr=50.51690524 14.07893121")</f>
        <v>https://www.mapy.cz?st=search&amp;fr=50.51690524 14.07893121</v>
      </c>
      <c r="AC112" s="6">
        <f t="shared" ref="AC112:AC119" si="26">(J112-K112)*L112</f>
        <v>156</v>
      </c>
      <c r="AD112" s="6" t="s">
        <v>865</v>
      </c>
      <c r="AE112" s="37"/>
    </row>
    <row r="113" spans="1:32" ht="35.1" customHeight="1" x14ac:dyDescent="0.2">
      <c r="A113" s="47" t="s">
        <v>267</v>
      </c>
      <c r="B113" s="46">
        <v>3</v>
      </c>
      <c r="C113" s="48" t="s">
        <v>551</v>
      </c>
      <c r="D113" s="49" t="s">
        <v>232</v>
      </c>
      <c r="E113" s="45" t="s">
        <v>233</v>
      </c>
      <c r="F113" s="46" t="s">
        <v>263</v>
      </c>
      <c r="G113" s="46"/>
      <c r="H113" s="46"/>
      <c r="I113" s="46"/>
      <c r="J113" s="46" t="s">
        <v>112</v>
      </c>
      <c r="K113" s="46" t="s">
        <v>80</v>
      </c>
      <c r="L113" s="46" t="s">
        <v>47</v>
      </c>
      <c r="M113" s="46" t="s">
        <v>34</v>
      </c>
      <c r="N113" s="46" t="s">
        <v>105</v>
      </c>
      <c r="O113" s="46" t="s">
        <v>36</v>
      </c>
      <c r="P113" s="46" t="s">
        <v>37</v>
      </c>
      <c r="Q113" s="46" t="s">
        <v>34</v>
      </c>
      <c r="R113" s="45" t="s">
        <v>552</v>
      </c>
      <c r="S113" s="45" t="s">
        <v>223</v>
      </c>
      <c r="T113" s="45" t="s">
        <v>271</v>
      </c>
      <c r="U113" s="11" t="s">
        <v>384</v>
      </c>
      <c r="V113" s="12" t="s">
        <v>95</v>
      </c>
      <c r="W113" s="12" t="s">
        <v>46</v>
      </c>
      <c r="X113" s="12" t="s">
        <v>403</v>
      </c>
      <c r="Y113" s="45" t="str">
        <f>HYPERLINK("https://www.stromypodkontrolou.cz/map/tree/d41bce85-5010-4276-b929-4760db78c679/b2934a4e-6acd-4de3-8672-041d32d737c6")</f>
        <v>https://www.stromypodkontrolou.cz/map/tree/d41bce85-5010-4276-b929-4760db78c679/b2934a4e-6acd-4de3-8672-041d32d737c6</v>
      </c>
      <c r="Z113" s="45">
        <v>-760344.15769699996</v>
      </c>
      <c r="AA113" s="45">
        <v>-992326.65408600005</v>
      </c>
      <c r="AB113" s="45" t="str">
        <f>HYPERLINK("https://www.mapy.cz?st=search&amp;fr=50.51692720 14.07889165")</f>
        <v>https://www.mapy.cz?st=search&amp;fr=50.51692720 14.07889165</v>
      </c>
      <c r="AC113" s="6">
        <f t="shared" si="26"/>
        <v>156</v>
      </c>
      <c r="AD113" s="6" t="s">
        <v>865</v>
      </c>
      <c r="AE113" s="37"/>
    </row>
    <row r="114" spans="1:32" ht="35.1" customHeight="1" x14ac:dyDescent="0.2">
      <c r="A114" s="47"/>
      <c r="B114" s="46"/>
      <c r="C114" s="48"/>
      <c r="D114" s="49"/>
      <c r="E114" s="45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5"/>
      <c r="S114" s="45"/>
      <c r="T114" s="45"/>
      <c r="U114" s="11" t="s">
        <v>382</v>
      </c>
      <c r="V114" s="12" t="s">
        <v>95</v>
      </c>
      <c r="W114" s="12" t="s">
        <v>46</v>
      </c>
      <c r="X114" s="12"/>
      <c r="Y114" s="45"/>
      <c r="Z114" s="45"/>
      <c r="AA114" s="45"/>
      <c r="AB114" s="45"/>
      <c r="AC114" s="6">
        <f t="shared" si="26"/>
        <v>0</v>
      </c>
      <c r="AD114" s="6" t="s">
        <v>870</v>
      </c>
      <c r="AE114" s="37"/>
    </row>
    <row r="115" spans="1:32" ht="35.1" customHeight="1" x14ac:dyDescent="0.2">
      <c r="A115" s="26" t="s">
        <v>267</v>
      </c>
      <c r="B115" s="12">
        <v>4</v>
      </c>
      <c r="C115" s="13" t="s">
        <v>553</v>
      </c>
      <c r="D115" s="14" t="s">
        <v>268</v>
      </c>
      <c r="E115" s="11" t="s">
        <v>269</v>
      </c>
      <c r="F115" s="12" t="s">
        <v>554</v>
      </c>
      <c r="G115" s="12"/>
      <c r="H115" s="12"/>
      <c r="I115" s="12"/>
      <c r="J115" s="12" t="s">
        <v>221</v>
      </c>
      <c r="K115" s="12" t="s">
        <v>103</v>
      </c>
      <c r="L115" s="12" t="s">
        <v>50</v>
      </c>
      <c r="M115" s="12" t="s">
        <v>34</v>
      </c>
      <c r="N115" s="12" t="s">
        <v>45</v>
      </c>
      <c r="O115" s="12" t="s">
        <v>46</v>
      </c>
      <c r="P115" s="12" t="s">
        <v>37</v>
      </c>
      <c r="Q115" s="12" t="s">
        <v>37</v>
      </c>
      <c r="R115" s="11" t="s">
        <v>159</v>
      </c>
      <c r="S115" s="11" t="s">
        <v>223</v>
      </c>
      <c r="T115" s="11" t="s">
        <v>271</v>
      </c>
      <c r="U115" s="11" t="s">
        <v>384</v>
      </c>
      <c r="V115" s="12"/>
      <c r="W115" s="12" t="s">
        <v>46</v>
      </c>
      <c r="X115" s="12" t="s">
        <v>403</v>
      </c>
      <c r="Y115" s="11" t="str">
        <f>HYPERLINK("https://www.stromypodkontrolou.cz/map/tree/d41bce85-5010-4276-b929-4760db78c679/327b8fa3-829e-4309-a1e1-3fcade7c7e3b")</f>
        <v>https://www.stromypodkontrolou.cz/map/tree/d41bce85-5010-4276-b929-4760db78c679/327b8fa3-829e-4309-a1e1-3fcade7c7e3b</v>
      </c>
      <c r="Z115" s="11">
        <v>-760523.79807000002</v>
      </c>
      <c r="AA115" s="11">
        <v>-992276.30643600004</v>
      </c>
      <c r="AB115" s="11" t="str">
        <f>HYPERLINK("https://www.mapy.cz?st=search&amp;fr=50.51714783 14.07628387")</f>
        <v>https://www.mapy.cz?st=search&amp;fr=50.51714783 14.07628387</v>
      </c>
      <c r="AC115" s="6">
        <f t="shared" si="26"/>
        <v>189</v>
      </c>
      <c r="AD115" s="6" t="s">
        <v>865</v>
      </c>
      <c r="AE115" s="37"/>
    </row>
    <row r="116" spans="1:32" ht="35.1" customHeight="1" x14ac:dyDescent="0.2">
      <c r="A116" s="47" t="s">
        <v>267</v>
      </c>
      <c r="B116" s="46">
        <v>11</v>
      </c>
      <c r="C116" s="48" t="s">
        <v>555</v>
      </c>
      <c r="D116" s="49" t="s">
        <v>272</v>
      </c>
      <c r="E116" s="45" t="s">
        <v>273</v>
      </c>
      <c r="F116" s="46" t="s">
        <v>556</v>
      </c>
      <c r="G116" s="46"/>
      <c r="H116" s="46"/>
      <c r="I116" s="46"/>
      <c r="J116" s="46" t="s">
        <v>31</v>
      </c>
      <c r="K116" s="46" t="s">
        <v>113</v>
      </c>
      <c r="L116" s="46" t="s">
        <v>88</v>
      </c>
      <c r="M116" s="46" t="s">
        <v>95</v>
      </c>
      <c r="N116" s="46" t="s">
        <v>105</v>
      </c>
      <c r="O116" s="46" t="s">
        <v>36</v>
      </c>
      <c r="P116" s="46" t="s">
        <v>37</v>
      </c>
      <c r="Q116" s="46" t="s">
        <v>37</v>
      </c>
      <c r="R116" s="45" t="s">
        <v>295</v>
      </c>
      <c r="S116" s="45" t="s">
        <v>223</v>
      </c>
      <c r="T116" s="45" t="s">
        <v>557</v>
      </c>
      <c r="U116" s="11" t="s">
        <v>380</v>
      </c>
      <c r="V116" s="12" t="s">
        <v>95</v>
      </c>
      <c r="W116" s="12" t="s">
        <v>46</v>
      </c>
      <c r="X116" s="12" t="s">
        <v>430</v>
      </c>
      <c r="Y116" s="45" t="str">
        <f>HYPERLINK("https://www.stromypodkontrolou.cz/map/tree/d41bce85-5010-4276-b929-4760db78c679/a9ff93e7-abd5-476b-8406-a35957335dd6")</f>
        <v>https://www.stromypodkontrolou.cz/map/tree/d41bce85-5010-4276-b929-4760db78c679/a9ff93e7-abd5-476b-8406-a35957335dd6</v>
      </c>
      <c r="Z116" s="45">
        <v>-760643.53139899997</v>
      </c>
      <c r="AA116" s="45">
        <v>-992135.62849200005</v>
      </c>
      <c r="AB116" s="45" t="str">
        <f>HYPERLINK("https://www.mapy.cz?st=search&amp;fr=50.51824829 14.07433290")</f>
        <v>https://www.mapy.cz?st=search&amp;fr=50.51824829 14.07433290</v>
      </c>
      <c r="AC116" s="6">
        <f t="shared" si="26"/>
        <v>400</v>
      </c>
      <c r="AD116" s="6" t="s">
        <v>871</v>
      </c>
      <c r="AE116" s="37"/>
    </row>
    <row r="117" spans="1:32" ht="35.1" customHeight="1" x14ac:dyDescent="0.2">
      <c r="A117" s="47"/>
      <c r="B117" s="46"/>
      <c r="C117" s="48"/>
      <c r="D117" s="49"/>
      <c r="E117" s="45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5"/>
      <c r="S117" s="45"/>
      <c r="T117" s="45"/>
      <c r="U117" s="11" t="s">
        <v>382</v>
      </c>
      <c r="V117" s="12" t="s">
        <v>95</v>
      </c>
      <c r="W117" s="12" t="s">
        <v>46</v>
      </c>
      <c r="X117" s="12"/>
      <c r="Y117" s="45"/>
      <c r="Z117" s="45"/>
      <c r="AA117" s="45"/>
      <c r="AB117" s="45"/>
      <c r="AC117" s="6">
        <f t="shared" si="26"/>
        <v>0</v>
      </c>
      <c r="AD117" s="6" t="s">
        <v>875</v>
      </c>
      <c r="AE117" s="37"/>
    </row>
    <row r="118" spans="1:32" ht="35.1" customHeight="1" x14ac:dyDescent="0.2">
      <c r="A118" s="26" t="s">
        <v>267</v>
      </c>
      <c r="B118" s="12">
        <v>14</v>
      </c>
      <c r="C118" s="13" t="s">
        <v>558</v>
      </c>
      <c r="D118" s="14" t="s">
        <v>272</v>
      </c>
      <c r="E118" s="11" t="s">
        <v>273</v>
      </c>
      <c r="F118" s="12" t="s">
        <v>332</v>
      </c>
      <c r="G118" s="12"/>
      <c r="H118" s="12"/>
      <c r="I118" s="12"/>
      <c r="J118" s="12" t="s">
        <v>31</v>
      </c>
      <c r="K118" s="12" t="s">
        <v>113</v>
      </c>
      <c r="L118" s="12" t="s">
        <v>59</v>
      </c>
      <c r="M118" s="12" t="s">
        <v>34</v>
      </c>
      <c r="N118" s="12" t="s">
        <v>105</v>
      </c>
      <c r="O118" s="12" t="s">
        <v>36</v>
      </c>
      <c r="P118" s="12" t="s">
        <v>36</v>
      </c>
      <c r="Q118" s="12" t="s">
        <v>37</v>
      </c>
      <c r="R118" s="11"/>
      <c r="S118" s="11" t="s">
        <v>223</v>
      </c>
      <c r="T118" s="11" t="s">
        <v>557</v>
      </c>
      <c r="U118" s="11" t="s">
        <v>380</v>
      </c>
      <c r="V118" s="12" t="s">
        <v>95</v>
      </c>
      <c r="W118" s="12" t="s">
        <v>46</v>
      </c>
      <c r="X118" s="12" t="s">
        <v>430</v>
      </c>
      <c r="Y118" s="11" t="str">
        <f>HYPERLINK("https://www.stromypodkontrolou.cz/map/tree/d41bce85-5010-4276-b929-4760db78c679/78e30374-8d16-4a2e-a0b3-c0fbe0082442")</f>
        <v>https://www.stromypodkontrolou.cz/map/tree/d41bce85-5010-4276-b929-4760db78c679/78e30374-8d16-4a2e-a0b3-c0fbe0082442</v>
      </c>
      <c r="Z118" s="11">
        <v>-760709.91400999995</v>
      </c>
      <c r="AA118" s="11">
        <v>-992110.15691200003</v>
      </c>
      <c r="AB118" s="11" t="str">
        <f>HYPERLINK("https://www.mapy.cz?st=search&amp;fr=50.51839090 14.07335557")</f>
        <v>https://www.mapy.cz?st=search&amp;fr=50.51839090 14.07335557</v>
      </c>
      <c r="AC118" s="6">
        <f t="shared" si="26"/>
        <v>340</v>
      </c>
      <c r="AD118" s="6" t="s">
        <v>871</v>
      </c>
      <c r="AE118" s="37"/>
    </row>
    <row r="119" spans="1:32" ht="35.1" customHeight="1" x14ac:dyDescent="0.2">
      <c r="A119" s="26" t="s">
        <v>267</v>
      </c>
      <c r="B119" s="2">
        <v>15</v>
      </c>
      <c r="C119" s="3" t="s">
        <v>559</v>
      </c>
      <c r="D119" s="4" t="s">
        <v>272</v>
      </c>
      <c r="E119" s="5" t="s">
        <v>273</v>
      </c>
      <c r="F119" s="2" t="s">
        <v>332</v>
      </c>
      <c r="G119" s="2"/>
      <c r="H119" s="2"/>
      <c r="I119" s="2"/>
      <c r="J119" s="2" t="s">
        <v>42</v>
      </c>
      <c r="K119" s="2" t="s">
        <v>113</v>
      </c>
      <c r="L119" s="2" t="s">
        <v>50</v>
      </c>
      <c r="M119" s="2" t="s">
        <v>95</v>
      </c>
      <c r="N119" s="2" t="s">
        <v>45</v>
      </c>
      <c r="O119" s="2" t="s">
        <v>37</v>
      </c>
      <c r="P119" s="2" t="s">
        <v>36</v>
      </c>
      <c r="Q119" s="2" t="s">
        <v>95</v>
      </c>
      <c r="R119" s="5" t="s">
        <v>150</v>
      </c>
      <c r="S119" s="5" t="s">
        <v>223</v>
      </c>
      <c r="T119" s="5" t="s">
        <v>274</v>
      </c>
      <c r="U119" s="5" t="s">
        <v>380</v>
      </c>
      <c r="V119" s="2" t="s">
        <v>95</v>
      </c>
      <c r="W119" s="2" t="s">
        <v>46</v>
      </c>
      <c r="X119" s="2" t="s">
        <v>407</v>
      </c>
      <c r="Y119" s="5" t="str">
        <f>HYPERLINK("https://www.stromypodkontrolou.cz/map/tree/d41bce85-5010-4276-b929-4760db78c679/c4786adc-71fc-4b81-86ca-945a34c1cef9")</f>
        <v>https://www.stromypodkontrolou.cz/map/tree/d41bce85-5010-4276-b929-4760db78c679/c4786adc-71fc-4b81-86ca-945a34c1cef9</v>
      </c>
      <c r="Z119" s="5">
        <v>-760740.85594299994</v>
      </c>
      <c r="AA119" s="5">
        <v>-992108.53099300002</v>
      </c>
      <c r="AB119" s="5" t="str">
        <f>HYPERLINK("https://www.mapy.cz?st=search&amp;fr=50.51836618 14.07292038")</f>
        <v>https://www.mapy.cz?st=search&amp;fr=50.51836618 14.07292038</v>
      </c>
      <c r="AC119" s="7">
        <f t="shared" si="26"/>
        <v>28</v>
      </c>
      <c r="AD119" s="6" t="s">
        <v>869</v>
      </c>
      <c r="AE119" s="38"/>
      <c r="AF119" s="8"/>
    </row>
    <row r="120" spans="1:32" ht="30.75" customHeight="1" x14ac:dyDescent="0.2">
      <c r="A120" s="26" t="s">
        <v>267</v>
      </c>
      <c r="B120" s="12">
        <v>17</v>
      </c>
      <c r="C120" s="13" t="s">
        <v>560</v>
      </c>
      <c r="D120" s="14" t="s">
        <v>272</v>
      </c>
      <c r="E120" s="11" t="s">
        <v>273</v>
      </c>
      <c r="F120" s="12" t="s">
        <v>561</v>
      </c>
      <c r="G120" s="12"/>
      <c r="H120" s="12"/>
      <c r="I120" s="12"/>
      <c r="J120" s="12" t="s">
        <v>31</v>
      </c>
      <c r="K120" s="12" t="s">
        <v>113</v>
      </c>
      <c r="L120" s="12" t="s">
        <v>59</v>
      </c>
      <c r="M120" s="12" t="s">
        <v>95</v>
      </c>
      <c r="N120" s="12" t="s">
        <v>105</v>
      </c>
      <c r="O120" s="12" t="s">
        <v>46</v>
      </c>
      <c r="P120" s="12" t="s">
        <v>36</v>
      </c>
      <c r="Q120" s="12" t="s">
        <v>37</v>
      </c>
      <c r="R120" s="11" t="s">
        <v>156</v>
      </c>
      <c r="S120" s="11" t="s">
        <v>223</v>
      </c>
      <c r="T120" s="11" t="s">
        <v>274</v>
      </c>
      <c r="U120" s="11" t="s">
        <v>380</v>
      </c>
      <c r="V120" s="12" t="s">
        <v>95</v>
      </c>
      <c r="W120" s="12" t="s">
        <v>46</v>
      </c>
      <c r="X120" s="12" t="s">
        <v>407</v>
      </c>
      <c r="Y120" s="11" t="str">
        <f>HYPERLINK("https://www.stromypodkontrolou.cz/map/tree/d41bce85-5010-4276-b929-4760db78c679/00e94f58-2937-45a7-adf4-5c06022475f0")</f>
        <v>https://www.stromypodkontrolou.cz/map/tree/d41bce85-5010-4276-b929-4760db78c679/00e94f58-2937-45a7-adf4-5c06022475f0</v>
      </c>
      <c r="Z120" s="11">
        <v>-760781.40362700005</v>
      </c>
      <c r="AA120" s="11">
        <v>-992103.69327399996</v>
      </c>
      <c r="AB120" s="11" t="str">
        <f>HYPERLINK("https://www.mapy.cz?st=search&amp;fr=50.51835786 14.07234471")</f>
        <v>https://www.mapy.cz?st=search&amp;fr=50.51835786 14.07234471</v>
      </c>
      <c r="AC120" s="6">
        <f>(J120-K120)*L120</f>
        <v>340</v>
      </c>
      <c r="AD120" s="6" t="s">
        <v>871</v>
      </c>
      <c r="AE120" s="37"/>
    </row>
    <row r="121" spans="1:32" ht="35.1" customHeight="1" x14ac:dyDescent="0.2">
      <c r="A121" s="26" t="s">
        <v>267</v>
      </c>
      <c r="B121" s="12">
        <v>23</v>
      </c>
      <c r="C121" s="13" t="s">
        <v>562</v>
      </c>
      <c r="D121" s="14" t="s">
        <v>232</v>
      </c>
      <c r="E121" s="11" t="s">
        <v>233</v>
      </c>
      <c r="F121" s="12" t="s">
        <v>120</v>
      </c>
      <c r="G121" s="12" t="s">
        <v>69</v>
      </c>
      <c r="H121" s="12" t="s">
        <v>89</v>
      </c>
      <c r="I121" s="12"/>
      <c r="J121" s="12" t="s">
        <v>51</v>
      </c>
      <c r="K121" s="12" t="s">
        <v>80</v>
      </c>
      <c r="L121" s="12" t="s">
        <v>41</v>
      </c>
      <c r="M121" s="12" t="s">
        <v>95</v>
      </c>
      <c r="N121" s="12" t="s">
        <v>45</v>
      </c>
      <c r="O121" s="12" t="s">
        <v>46</v>
      </c>
      <c r="P121" s="12" t="s">
        <v>34</v>
      </c>
      <c r="Q121" s="12" t="s">
        <v>34</v>
      </c>
      <c r="R121" s="11" t="s">
        <v>159</v>
      </c>
      <c r="S121" s="11" t="s">
        <v>223</v>
      </c>
      <c r="T121" s="11" t="s">
        <v>274</v>
      </c>
      <c r="U121" s="11" t="s">
        <v>384</v>
      </c>
      <c r="V121" s="12" t="s">
        <v>95</v>
      </c>
      <c r="W121" s="12" t="s">
        <v>46</v>
      </c>
      <c r="X121" s="12" t="s">
        <v>406</v>
      </c>
      <c r="Y121" s="11" t="str">
        <f>HYPERLINK("https://www.stromypodkontrolou.cz/map/tree/d41bce85-5010-4276-b929-4760db78c679/f604d6ff-0916-40d2-83ae-6ad6492820f0")</f>
        <v>https://www.stromypodkontrolou.cz/map/tree/d41bce85-5010-4276-b929-4760db78c679/f604d6ff-0916-40d2-83ae-6ad6492820f0</v>
      </c>
      <c r="Z121" s="11">
        <v>-760826.09042499994</v>
      </c>
      <c r="AA121" s="11">
        <v>-992106.50524500001</v>
      </c>
      <c r="AB121" s="11" t="str">
        <f>HYPERLINK("https://www.mapy.cz?st=search&amp;fr=50.51827621 14.07172646")</f>
        <v>https://www.mapy.cz?st=search&amp;fr=50.51827621 14.07172646</v>
      </c>
      <c r="AC121" s="6">
        <f t="shared" ref="AC121:AC122" si="27">(J121-K121)*L121</f>
        <v>128</v>
      </c>
      <c r="AD121" s="6" t="s">
        <v>865</v>
      </c>
      <c r="AE121" s="37"/>
    </row>
    <row r="122" spans="1:32" ht="35.1" customHeight="1" x14ac:dyDescent="0.2">
      <c r="A122" s="26" t="s">
        <v>267</v>
      </c>
      <c r="B122" s="12">
        <v>24</v>
      </c>
      <c r="C122" s="13" t="s">
        <v>563</v>
      </c>
      <c r="D122" s="14" t="s">
        <v>232</v>
      </c>
      <c r="E122" s="11" t="s">
        <v>233</v>
      </c>
      <c r="F122" s="12" t="s">
        <v>235</v>
      </c>
      <c r="G122" s="12"/>
      <c r="H122" s="12"/>
      <c r="I122" s="12"/>
      <c r="J122" s="12" t="s">
        <v>75</v>
      </c>
      <c r="K122" s="12" t="s">
        <v>80</v>
      </c>
      <c r="L122" s="12" t="s">
        <v>41</v>
      </c>
      <c r="M122" s="12" t="s">
        <v>34</v>
      </c>
      <c r="N122" s="12" t="s">
        <v>105</v>
      </c>
      <c r="O122" s="12" t="s">
        <v>36</v>
      </c>
      <c r="P122" s="12" t="s">
        <v>37</v>
      </c>
      <c r="Q122" s="12" t="s">
        <v>37</v>
      </c>
      <c r="R122" s="11"/>
      <c r="S122" s="11" t="s">
        <v>223</v>
      </c>
      <c r="T122" s="11" t="s">
        <v>274</v>
      </c>
      <c r="U122" s="11" t="s">
        <v>384</v>
      </c>
      <c r="V122" s="12" t="s">
        <v>95</v>
      </c>
      <c r="W122" s="12" t="s">
        <v>46</v>
      </c>
      <c r="X122" s="12" t="s">
        <v>388</v>
      </c>
      <c r="Y122" s="11" t="str">
        <f>HYPERLINK("https://www.stromypodkontrolou.cz/map/tree/d41bce85-5010-4276-b929-4760db78c679/6dbc0278-8cad-4e32-8dd4-3a4cad9395ae")</f>
        <v>https://www.stromypodkontrolou.cz/map/tree/d41bce85-5010-4276-b929-4760db78c679/6dbc0278-8cad-4e32-8dd4-3a4cad9395ae</v>
      </c>
      <c r="Z122" s="11">
        <v>-760834.59893900005</v>
      </c>
      <c r="AA122" s="11">
        <v>-992108.40764899994</v>
      </c>
      <c r="AB122" s="11" t="str">
        <f>HYPERLINK("https://www.mapy.cz?st=search&amp;fr=50.51824850 14.07161147")</f>
        <v>https://www.mapy.cz?st=search&amp;fr=50.51824850 14.07161147</v>
      </c>
      <c r="AC122" s="6">
        <f t="shared" si="27"/>
        <v>256</v>
      </c>
      <c r="AD122" s="6" t="s">
        <v>879</v>
      </c>
      <c r="AE122" s="37"/>
    </row>
    <row r="123" spans="1:32" ht="35.1" customHeight="1" x14ac:dyDescent="0.2">
      <c r="A123" s="26" t="s">
        <v>267</v>
      </c>
      <c r="B123" s="12">
        <v>27</v>
      </c>
      <c r="C123" s="13" t="s">
        <v>564</v>
      </c>
      <c r="D123" s="14" t="s">
        <v>232</v>
      </c>
      <c r="E123" s="11" t="s">
        <v>233</v>
      </c>
      <c r="F123" s="12" t="s">
        <v>98</v>
      </c>
      <c r="G123" s="12" t="s">
        <v>69</v>
      </c>
      <c r="H123" s="12" t="s">
        <v>123</v>
      </c>
      <c r="I123" s="12" t="s">
        <v>124</v>
      </c>
      <c r="J123" s="12" t="s">
        <v>51</v>
      </c>
      <c r="K123" s="12" t="s">
        <v>80</v>
      </c>
      <c r="L123" s="12" t="s">
        <v>41</v>
      </c>
      <c r="M123" s="12" t="s">
        <v>95</v>
      </c>
      <c r="N123" s="12" t="s">
        <v>105</v>
      </c>
      <c r="O123" s="12" t="s">
        <v>46</v>
      </c>
      <c r="P123" s="12" t="s">
        <v>37</v>
      </c>
      <c r="Q123" s="12" t="s">
        <v>37</v>
      </c>
      <c r="R123" s="11" t="s">
        <v>565</v>
      </c>
      <c r="S123" s="11" t="s">
        <v>223</v>
      </c>
      <c r="T123" s="11" t="s">
        <v>276</v>
      </c>
      <c r="U123" s="11" t="s">
        <v>380</v>
      </c>
      <c r="V123" s="12" t="s">
        <v>95</v>
      </c>
      <c r="W123" s="12" t="s">
        <v>46</v>
      </c>
      <c r="X123" s="12" t="s">
        <v>566</v>
      </c>
      <c r="Y123" s="11" t="str">
        <f>HYPERLINK("https://www.stromypodkontrolou.cz/map/tree/d41bce85-5010-4276-b929-4760db78c679/5b59e3d8-ae39-49b8-b08f-7f6875908e4a")</f>
        <v>https://www.stromypodkontrolou.cz/map/tree/d41bce85-5010-4276-b929-4760db78c679/5b59e3d8-ae39-49b8-b08f-7f6875908e4a</v>
      </c>
      <c r="Z123" s="11">
        <v>-760825.70000099996</v>
      </c>
      <c r="AA123" s="11">
        <v>-992172.59500199999</v>
      </c>
      <c r="AB123" s="11" t="str">
        <f>HYPERLINK("https://www.mapy.cz?st=search&amp;fr=50.51768848 14.07186326")</f>
        <v>https://www.mapy.cz?st=search&amp;fr=50.51768848 14.07186326</v>
      </c>
      <c r="AC123" s="6">
        <f>(J123-K123)*L123</f>
        <v>128</v>
      </c>
      <c r="AD123" s="6" t="s">
        <v>869</v>
      </c>
      <c r="AE123" s="37"/>
    </row>
    <row r="124" spans="1:32" ht="35.1" customHeight="1" x14ac:dyDescent="0.2">
      <c r="A124" s="26" t="s">
        <v>267</v>
      </c>
      <c r="B124" s="12">
        <v>31</v>
      </c>
      <c r="C124" s="13" t="s">
        <v>567</v>
      </c>
      <c r="D124" s="14" t="s">
        <v>264</v>
      </c>
      <c r="E124" s="11" t="s">
        <v>265</v>
      </c>
      <c r="F124" s="12" t="s">
        <v>89</v>
      </c>
      <c r="G124" s="12"/>
      <c r="H124" s="12"/>
      <c r="I124" s="12"/>
      <c r="J124" s="12" t="s">
        <v>51</v>
      </c>
      <c r="K124" s="12" t="s">
        <v>61</v>
      </c>
      <c r="L124" s="12" t="s">
        <v>44</v>
      </c>
      <c r="M124" s="12" t="s">
        <v>37</v>
      </c>
      <c r="N124" s="12" t="s">
        <v>105</v>
      </c>
      <c r="O124" s="12" t="s">
        <v>46</v>
      </c>
      <c r="P124" s="12" t="s">
        <v>36</v>
      </c>
      <c r="Q124" s="12" t="s">
        <v>36</v>
      </c>
      <c r="R124" s="11" t="s">
        <v>568</v>
      </c>
      <c r="S124" s="11" t="s">
        <v>223</v>
      </c>
      <c r="T124" s="11" t="s">
        <v>276</v>
      </c>
      <c r="U124" s="11" t="s">
        <v>378</v>
      </c>
      <c r="V124" s="12" t="s">
        <v>95</v>
      </c>
      <c r="W124" s="12" t="s">
        <v>46</v>
      </c>
      <c r="X124" s="12"/>
      <c r="Y124" s="11" t="str">
        <f>HYPERLINK("https://www.stromypodkontrolou.cz/map/tree/d41bce85-5010-4276-b929-4760db78c679/784b631c-025e-4fb9-b368-89faf9703cbf")</f>
        <v>https://www.stromypodkontrolou.cz/map/tree/d41bce85-5010-4276-b929-4760db78c679/784b631c-025e-4fb9-b368-89faf9703cbf</v>
      </c>
      <c r="Z124" s="11">
        <v>-760857.72430400003</v>
      </c>
      <c r="AA124" s="11">
        <v>-992160.17989200004</v>
      </c>
      <c r="AB124" s="11" t="str">
        <f>HYPERLINK("https://www.mapy.cz?st=search&amp;fr=50.51775840 14.07139152")</f>
        <v>https://www.mapy.cz?st=search&amp;fr=50.51775840 14.07139152</v>
      </c>
      <c r="AC124" s="6">
        <f>(J124-K124)*L124</f>
        <v>36</v>
      </c>
      <c r="AD124" s="6" t="s">
        <v>866</v>
      </c>
      <c r="AE124" s="37"/>
    </row>
    <row r="125" spans="1:32" ht="35.1" customHeight="1" x14ac:dyDescent="0.2">
      <c r="A125" s="47" t="s">
        <v>267</v>
      </c>
      <c r="B125" s="46">
        <v>34</v>
      </c>
      <c r="C125" s="48" t="s">
        <v>570</v>
      </c>
      <c r="D125" s="49" t="s">
        <v>28</v>
      </c>
      <c r="E125" s="45" t="s">
        <v>29</v>
      </c>
      <c r="F125" s="46" t="s">
        <v>571</v>
      </c>
      <c r="G125" s="46"/>
      <c r="H125" s="46"/>
      <c r="I125" s="46"/>
      <c r="J125" s="46" t="s">
        <v>161</v>
      </c>
      <c r="K125" s="46" t="s">
        <v>76</v>
      </c>
      <c r="L125" s="46" t="s">
        <v>140</v>
      </c>
      <c r="M125" s="46" t="s">
        <v>34</v>
      </c>
      <c r="N125" s="46" t="s">
        <v>35</v>
      </c>
      <c r="O125" s="46" t="s">
        <v>46</v>
      </c>
      <c r="P125" s="46" t="s">
        <v>37</v>
      </c>
      <c r="Q125" s="46" t="s">
        <v>37</v>
      </c>
      <c r="R125" s="45"/>
      <c r="S125" s="45" t="s">
        <v>223</v>
      </c>
      <c r="T125" s="45" t="s">
        <v>274</v>
      </c>
      <c r="U125" s="11" t="s">
        <v>480</v>
      </c>
      <c r="V125" s="12" t="s">
        <v>95</v>
      </c>
      <c r="W125" s="12" t="s">
        <v>46</v>
      </c>
      <c r="X125" s="12" t="s">
        <v>422</v>
      </c>
      <c r="Y125" s="45" t="str">
        <f>HYPERLINK("https://www.stromypodkontrolou.cz/map/tree/d41bce85-5010-4276-b929-4760db78c679/d95b802e-88f7-4bb7-b257-68c0c62b767a")</f>
        <v>https://www.stromypodkontrolou.cz/map/tree/d41bce85-5010-4276-b929-4760db78c679/d95b802e-88f7-4bb7-b257-68c0c62b767a</v>
      </c>
      <c r="Z125" s="45">
        <v>-760929.08169400005</v>
      </c>
      <c r="AA125" s="45">
        <v>-992136.41754699999</v>
      </c>
      <c r="AB125" s="45" t="str">
        <f>HYPERLINK("https://www.mapy.cz?st=search&amp;fr=50.51787947 14.07034814")</f>
        <v>https://www.mapy.cz?st=search&amp;fr=50.51787947 14.07034814</v>
      </c>
      <c r="AC125" s="6">
        <f t="shared" ref="AC125:AC129" si="28">(J125-K125)*L125</f>
        <v>418</v>
      </c>
      <c r="AD125" s="6" t="s">
        <v>878</v>
      </c>
      <c r="AE125" s="37"/>
    </row>
    <row r="126" spans="1:32" ht="35.1" customHeight="1" x14ac:dyDescent="0.2">
      <c r="A126" s="47"/>
      <c r="B126" s="46"/>
      <c r="C126" s="48"/>
      <c r="D126" s="49"/>
      <c r="E126" s="45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5"/>
      <c r="S126" s="45"/>
      <c r="T126" s="45"/>
      <c r="U126" s="11" t="s">
        <v>382</v>
      </c>
      <c r="V126" s="12" t="s">
        <v>95</v>
      </c>
      <c r="W126" s="12" t="s">
        <v>46</v>
      </c>
      <c r="X126" s="12"/>
      <c r="Y126" s="45"/>
      <c r="Z126" s="45"/>
      <c r="AA126" s="45"/>
      <c r="AB126" s="45"/>
      <c r="AC126" s="6">
        <f t="shared" si="28"/>
        <v>0</v>
      </c>
      <c r="AD126" s="6" t="s">
        <v>875</v>
      </c>
      <c r="AE126" s="37"/>
    </row>
    <row r="127" spans="1:32" ht="35.1" customHeight="1" x14ac:dyDescent="0.2">
      <c r="A127" s="47" t="s">
        <v>267</v>
      </c>
      <c r="B127" s="46">
        <v>35</v>
      </c>
      <c r="C127" s="48" t="s">
        <v>572</v>
      </c>
      <c r="D127" s="49" t="s">
        <v>28</v>
      </c>
      <c r="E127" s="45" t="s">
        <v>29</v>
      </c>
      <c r="F127" s="46" t="s">
        <v>573</v>
      </c>
      <c r="G127" s="46"/>
      <c r="H127" s="46"/>
      <c r="I127" s="46"/>
      <c r="J127" s="46" t="s">
        <v>84</v>
      </c>
      <c r="K127" s="46" t="s">
        <v>103</v>
      </c>
      <c r="L127" s="46" t="s">
        <v>47</v>
      </c>
      <c r="M127" s="46" t="s">
        <v>34</v>
      </c>
      <c r="N127" s="46" t="s">
        <v>45</v>
      </c>
      <c r="O127" s="46" t="s">
        <v>36</v>
      </c>
      <c r="P127" s="46" t="s">
        <v>37</v>
      </c>
      <c r="Q127" s="46" t="s">
        <v>37</v>
      </c>
      <c r="R127" s="45" t="s">
        <v>574</v>
      </c>
      <c r="S127" s="45" t="s">
        <v>223</v>
      </c>
      <c r="T127" s="45" t="s">
        <v>276</v>
      </c>
      <c r="U127" s="11" t="s">
        <v>382</v>
      </c>
      <c r="V127" s="12" t="s">
        <v>95</v>
      </c>
      <c r="W127" s="12" t="s">
        <v>46</v>
      </c>
      <c r="X127" s="12"/>
      <c r="Y127" s="45" t="str">
        <f>HYPERLINK("https://www.stromypodkontrolou.cz/map/tree/d41bce85-5010-4276-b929-4760db78c679/30bf5851-9f3d-4580-906f-72c4c29e85a5")</f>
        <v>https://www.stromypodkontrolou.cz/map/tree/d41bce85-5010-4276-b929-4760db78c679/30bf5851-9f3d-4580-906f-72c4c29e85a5</v>
      </c>
      <c r="Z127" s="45">
        <v>-760948.89240899996</v>
      </c>
      <c r="AA127" s="45">
        <v>-992137.06988700002</v>
      </c>
      <c r="AB127" s="45" t="str">
        <f>HYPERLINK("https://www.mapy.cz?st=search&amp;fr=50.51784856 14.07007288")</f>
        <v>https://www.mapy.cz?st=search&amp;fr=50.51784856 14.07007288</v>
      </c>
      <c r="AC127" s="6">
        <f t="shared" si="28"/>
        <v>192</v>
      </c>
      <c r="AD127" s="6" t="s">
        <v>870</v>
      </c>
      <c r="AE127" s="37"/>
    </row>
    <row r="128" spans="1:32" ht="35.1" customHeight="1" x14ac:dyDescent="0.2">
      <c r="A128" s="47"/>
      <c r="B128" s="46"/>
      <c r="C128" s="48"/>
      <c r="D128" s="49"/>
      <c r="E128" s="45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5"/>
      <c r="S128" s="45"/>
      <c r="T128" s="45"/>
      <c r="U128" s="11" t="s">
        <v>380</v>
      </c>
      <c r="V128" s="12" t="s">
        <v>95</v>
      </c>
      <c r="W128" s="12" t="s">
        <v>46</v>
      </c>
      <c r="X128" s="12" t="s">
        <v>407</v>
      </c>
      <c r="Y128" s="45"/>
      <c r="Z128" s="45"/>
      <c r="AA128" s="45"/>
      <c r="AB128" s="45"/>
      <c r="AC128" s="6">
        <f t="shared" si="28"/>
        <v>0</v>
      </c>
      <c r="AD128" s="6" t="s">
        <v>869</v>
      </c>
      <c r="AE128" s="37"/>
    </row>
    <row r="129" spans="1:31" ht="35.1" customHeight="1" x14ac:dyDescent="0.2">
      <c r="A129" s="26" t="s">
        <v>267</v>
      </c>
      <c r="B129" s="12">
        <v>36</v>
      </c>
      <c r="C129" s="13" t="s">
        <v>575</v>
      </c>
      <c r="D129" s="14" t="s">
        <v>28</v>
      </c>
      <c r="E129" s="11" t="s">
        <v>29</v>
      </c>
      <c r="F129" s="12" t="s">
        <v>157</v>
      </c>
      <c r="G129" s="12"/>
      <c r="H129" s="12"/>
      <c r="I129" s="12"/>
      <c r="J129" s="12" t="s">
        <v>84</v>
      </c>
      <c r="K129" s="12" t="s">
        <v>103</v>
      </c>
      <c r="L129" s="12" t="s">
        <v>47</v>
      </c>
      <c r="M129" s="12" t="s">
        <v>34</v>
      </c>
      <c r="N129" s="12" t="s">
        <v>105</v>
      </c>
      <c r="O129" s="12" t="s">
        <v>36</v>
      </c>
      <c r="P129" s="12" t="s">
        <v>36</v>
      </c>
      <c r="Q129" s="12" t="s">
        <v>36</v>
      </c>
      <c r="R129" s="11" t="s">
        <v>200</v>
      </c>
      <c r="S129" s="11" t="s">
        <v>223</v>
      </c>
      <c r="T129" s="11" t="s">
        <v>276</v>
      </c>
      <c r="U129" s="11" t="s">
        <v>382</v>
      </c>
      <c r="V129" s="12" t="s">
        <v>95</v>
      </c>
      <c r="W129" s="12" t="s">
        <v>46</v>
      </c>
      <c r="X129" s="12"/>
      <c r="Y129" s="11" t="str">
        <f>HYPERLINK("https://www.stromypodkontrolou.cz/map/tree/d41bce85-5010-4276-b929-4760db78c679/dac68d43-0bb5-4ddf-8215-02de6e823468")</f>
        <v>https://www.stromypodkontrolou.cz/map/tree/d41bce85-5010-4276-b929-4760db78c679/dac68d43-0bb5-4ddf-8215-02de6e823468</v>
      </c>
      <c r="Z129" s="11">
        <v>-760945.95997900004</v>
      </c>
      <c r="AA129" s="11">
        <v>-992137.55926500005</v>
      </c>
      <c r="AB129" s="11" t="str">
        <f>HYPERLINK("https://www.mapy.cz?st=search&amp;fr=50.51784792 14.07011479")</f>
        <v>https://www.mapy.cz?st=search&amp;fr=50.51784792 14.07011479</v>
      </c>
      <c r="AC129" s="6">
        <f t="shared" si="28"/>
        <v>192</v>
      </c>
      <c r="AD129" s="6" t="s">
        <v>870</v>
      </c>
      <c r="AE129" s="37"/>
    </row>
    <row r="130" spans="1:31" ht="35.1" customHeight="1" x14ac:dyDescent="0.2">
      <c r="A130" s="26" t="s">
        <v>267</v>
      </c>
      <c r="B130" s="12">
        <v>38</v>
      </c>
      <c r="C130" s="13" t="s">
        <v>576</v>
      </c>
      <c r="D130" s="14" t="s">
        <v>28</v>
      </c>
      <c r="E130" s="11" t="s">
        <v>29</v>
      </c>
      <c r="F130" s="12" t="s">
        <v>329</v>
      </c>
      <c r="G130" s="12"/>
      <c r="H130" s="12"/>
      <c r="I130" s="12"/>
      <c r="J130" s="12" t="s">
        <v>75</v>
      </c>
      <c r="K130" s="12" t="s">
        <v>76</v>
      </c>
      <c r="L130" s="12" t="s">
        <v>140</v>
      </c>
      <c r="M130" s="12" t="s">
        <v>34</v>
      </c>
      <c r="N130" s="12" t="s">
        <v>105</v>
      </c>
      <c r="O130" s="12" t="s">
        <v>46</v>
      </c>
      <c r="P130" s="12" t="s">
        <v>37</v>
      </c>
      <c r="Q130" s="12" t="s">
        <v>37</v>
      </c>
      <c r="R130" s="11" t="s">
        <v>200</v>
      </c>
      <c r="S130" s="11" t="s">
        <v>223</v>
      </c>
      <c r="T130" s="11" t="s">
        <v>274</v>
      </c>
      <c r="U130" s="11" t="s">
        <v>380</v>
      </c>
      <c r="V130" s="12" t="s">
        <v>95</v>
      </c>
      <c r="W130" s="12" t="s">
        <v>46</v>
      </c>
      <c r="X130" s="12" t="s">
        <v>407</v>
      </c>
      <c r="Y130" s="11" t="str">
        <f>HYPERLINK("https://www.stromypodkontrolou.cz/map/tree/d41bce85-5010-4276-b929-4760db78c679/cdcc036e-0982-4d31-a911-63c1da29be8a")</f>
        <v>https://www.stromypodkontrolou.cz/map/tree/d41bce85-5010-4276-b929-4760db78c679/cdcc036e-0982-4d31-a911-63c1da29be8a</v>
      </c>
      <c r="Z130" s="11">
        <v>-760937.01917700004</v>
      </c>
      <c r="AA130" s="11">
        <v>-992137.51357399998</v>
      </c>
      <c r="AB130" s="11" t="str">
        <f>HYPERLINK("https://www.mapy.cz?st=search&amp;fr=50.51785966 14.07023952")</f>
        <v>https://www.mapy.cz?st=search&amp;fr=50.51785966 14.07023952</v>
      </c>
      <c r="AC130" s="6">
        <f t="shared" ref="AC130:AC133" si="29">(J130-K130)*L130</f>
        <v>190</v>
      </c>
      <c r="AD130" s="6" t="s">
        <v>869</v>
      </c>
      <c r="AE130" s="37"/>
    </row>
    <row r="131" spans="1:31" ht="35.1" customHeight="1" x14ac:dyDescent="0.2">
      <c r="A131" s="47" t="s">
        <v>267</v>
      </c>
      <c r="B131" s="46">
        <v>39</v>
      </c>
      <c r="C131" s="48" t="s">
        <v>577</v>
      </c>
      <c r="D131" s="49" t="s">
        <v>28</v>
      </c>
      <c r="E131" s="45" t="s">
        <v>29</v>
      </c>
      <c r="F131" s="46" t="s">
        <v>368</v>
      </c>
      <c r="G131" s="46"/>
      <c r="H131" s="46"/>
      <c r="I131" s="46"/>
      <c r="J131" s="46" t="s">
        <v>161</v>
      </c>
      <c r="K131" s="46" t="s">
        <v>76</v>
      </c>
      <c r="L131" s="46" t="s">
        <v>71</v>
      </c>
      <c r="M131" s="46" t="s">
        <v>95</v>
      </c>
      <c r="N131" s="46" t="s">
        <v>45</v>
      </c>
      <c r="O131" s="46" t="s">
        <v>46</v>
      </c>
      <c r="P131" s="46" t="s">
        <v>37</v>
      </c>
      <c r="Q131" s="46" t="s">
        <v>37</v>
      </c>
      <c r="R131" s="45" t="s">
        <v>159</v>
      </c>
      <c r="S131" s="45" t="s">
        <v>223</v>
      </c>
      <c r="T131" s="45" t="s">
        <v>274</v>
      </c>
      <c r="U131" s="11" t="s">
        <v>480</v>
      </c>
      <c r="V131" s="12" t="s">
        <v>95</v>
      </c>
      <c r="W131" s="12" t="s">
        <v>46</v>
      </c>
      <c r="X131" s="12" t="s">
        <v>422</v>
      </c>
      <c r="Y131" s="45" t="str">
        <f>HYPERLINK("https://www.stromypodkontrolou.cz/map/tree/d41bce85-5010-4276-b929-4760db78c679/f6d7625d-8d8e-4d93-b04c-6af4955f35bd")</f>
        <v>https://www.stromypodkontrolou.cz/map/tree/d41bce85-5010-4276-b929-4760db78c679/f6d7625d-8d8e-4d93-b04c-6af4955f35bd</v>
      </c>
      <c r="Z131" s="45">
        <v>-760936.32721799996</v>
      </c>
      <c r="AA131" s="45">
        <v>-992132.99078400002</v>
      </c>
      <c r="AB131" s="45" t="str">
        <f>HYPERLINK("https://www.mapy.cz?st=search&amp;fr=50.51790079 14.07024019")</f>
        <v>https://www.mapy.cz?st=search&amp;fr=50.51790079 14.07024019</v>
      </c>
      <c r="AC131" s="6">
        <f t="shared" si="29"/>
        <v>550</v>
      </c>
      <c r="AD131" s="6" t="s">
        <v>872</v>
      </c>
      <c r="AE131" s="37"/>
    </row>
    <row r="132" spans="1:31" ht="35.1" customHeight="1" x14ac:dyDescent="0.2">
      <c r="A132" s="47"/>
      <c r="B132" s="46"/>
      <c r="C132" s="48"/>
      <c r="D132" s="49"/>
      <c r="E132" s="45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5"/>
      <c r="S132" s="45"/>
      <c r="T132" s="45"/>
      <c r="U132" s="11" t="s">
        <v>380</v>
      </c>
      <c r="V132" s="12" t="s">
        <v>95</v>
      </c>
      <c r="W132" s="12" t="s">
        <v>46</v>
      </c>
      <c r="X132" s="12" t="s">
        <v>407</v>
      </c>
      <c r="Y132" s="45"/>
      <c r="Z132" s="45"/>
      <c r="AA132" s="45"/>
      <c r="AB132" s="45"/>
      <c r="AC132" s="6">
        <f t="shared" si="29"/>
        <v>0</v>
      </c>
      <c r="AD132" s="6" t="s">
        <v>871</v>
      </c>
      <c r="AE132" s="37"/>
    </row>
    <row r="133" spans="1:31" ht="35.1" customHeight="1" x14ac:dyDescent="0.2">
      <c r="A133" s="47"/>
      <c r="B133" s="46"/>
      <c r="C133" s="48"/>
      <c r="D133" s="49"/>
      <c r="E133" s="45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5"/>
      <c r="S133" s="45"/>
      <c r="T133" s="45"/>
      <c r="U133" s="11" t="s">
        <v>382</v>
      </c>
      <c r="V133" s="12" t="s">
        <v>95</v>
      </c>
      <c r="W133" s="12" t="s">
        <v>46</v>
      </c>
      <c r="X133" s="12"/>
      <c r="Y133" s="45"/>
      <c r="Z133" s="45"/>
      <c r="AA133" s="45"/>
      <c r="AB133" s="45"/>
      <c r="AC133" s="6">
        <f t="shared" si="29"/>
        <v>0</v>
      </c>
      <c r="AD133" s="6" t="s">
        <v>877</v>
      </c>
      <c r="AE133" s="37"/>
    </row>
    <row r="134" spans="1:31" ht="35.1" customHeight="1" x14ac:dyDescent="0.2">
      <c r="A134" s="26" t="s">
        <v>267</v>
      </c>
      <c r="B134" s="12">
        <v>43</v>
      </c>
      <c r="C134" s="13" t="s">
        <v>578</v>
      </c>
      <c r="D134" s="14" t="s">
        <v>28</v>
      </c>
      <c r="E134" s="11" t="s">
        <v>29</v>
      </c>
      <c r="F134" s="12" t="s">
        <v>195</v>
      </c>
      <c r="G134" s="12"/>
      <c r="H134" s="12"/>
      <c r="I134" s="12"/>
      <c r="J134" s="12" t="s">
        <v>66</v>
      </c>
      <c r="K134" s="12" t="s">
        <v>144</v>
      </c>
      <c r="L134" s="12" t="s">
        <v>104</v>
      </c>
      <c r="M134" s="12" t="s">
        <v>34</v>
      </c>
      <c r="N134" s="12" t="s">
        <v>35</v>
      </c>
      <c r="O134" s="12" t="s">
        <v>36</v>
      </c>
      <c r="P134" s="12" t="s">
        <v>36</v>
      </c>
      <c r="Q134" s="12" t="s">
        <v>37</v>
      </c>
      <c r="R134" s="11" t="s">
        <v>579</v>
      </c>
      <c r="S134" s="11" t="s">
        <v>223</v>
      </c>
      <c r="T134" s="11" t="s">
        <v>276</v>
      </c>
      <c r="U134" s="11" t="s">
        <v>380</v>
      </c>
      <c r="V134" s="12" t="s">
        <v>95</v>
      </c>
      <c r="W134" s="12" t="s">
        <v>46</v>
      </c>
      <c r="X134" s="12" t="s">
        <v>407</v>
      </c>
      <c r="Y134" s="11" t="str">
        <f>HYPERLINK("https://www.stromypodkontrolou.cz/map/tree/d41bce85-5010-4276-b929-4760db78c679/4787970a-f0de-4ab2-8a92-36c2b2b4fe4a")</f>
        <v>https://www.stromypodkontrolou.cz/map/tree/d41bce85-5010-4276-b929-4760db78c679/4787970a-f0de-4ab2-8a92-36c2b2b4fe4a</v>
      </c>
      <c r="Z134" s="11">
        <v>-760977.75748000003</v>
      </c>
      <c r="AA134" s="11">
        <v>-992130.46898799995</v>
      </c>
      <c r="AB134" s="11" t="str">
        <f>HYPERLINK("https://www.mapy.cz?st=search&amp;fr=50.51787073 14.06965680")</f>
        <v>https://www.mapy.cz?st=search&amp;fr=50.51787073 14.06965680</v>
      </c>
      <c r="AC134" s="6">
        <f t="shared" ref="AC134:AC135" si="30">(J134-K134)*L134</f>
        <v>88</v>
      </c>
      <c r="AD134" s="6" t="s">
        <v>869</v>
      </c>
      <c r="AE134" s="37"/>
    </row>
    <row r="135" spans="1:31" ht="35.1" customHeight="1" x14ac:dyDescent="0.2">
      <c r="A135" s="26" t="s">
        <v>267</v>
      </c>
      <c r="B135" s="12">
        <v>45</v>
      </c>
      <c r="C135" s="13" t="s">
        <v>580</v>
      </c>
      <c r="D135" s="14" t="s">
        <v>28</v>
      </c>
      <c r="E135" s="11" t="s">
        <v>29</v>
      </c>
      <c r="F135" s="12" t="s">
        <v>329</v>
      </c>
      <c r="G135" s="12"/>
      <c r="H135" s="12"/>
      <c r="I135" s="12"/>
      <c r="J135" s="12" t="s">
        <v>161</v>
      </c>
      <c r="K135" s="12" t="s">
        <v>76</v>
      </c>
      <c r="L135" s="12" t="s">
        <v>140</v>
      </c>
      <c r="M135" s="12" t="s">
        <v>34</v>
      </c>
      <c r="N135" s="12" t="s">
        <v>45</v>
      </c>
      <c r="O135" s="12" t="s">
        <v>46</v>
      </c>
      <c r="P135" s="12" t="s">
        <v>37</v>
      </c>
      <c r="Q135" s="12" t="s">
        <v>37</v>
      </c>
      <c r="R135" s="11" t="s">
        <v>153</v>
      </c>
      <c r="S135" s="11" t="s">
        <v>223</v>
      </c>
      <c r="T135" s="11" t="s">
        <v>276</v>
      </c>
      <c r="U135" s="11" t="s">
        <v>384</v>
      </c>
      <c r="V135" s="12" t="s">
        <v>95</v>
      </c>
      <c r="W135" s="12" t="s">
        <v>46</v>
      </c>
      <c r="X135" s="12" t="s">
        <v>388</v>
      </c>
      <c r="Y135" s="11" t="str">
        <f>HYPERLINK("https://www.stromypodkontrolou.cz/map/tree/d41bce85-5010-4276-b929-4760db78c679/89a7c911-c4e4-4f08-bd90-5caf87c55298")</f>
        <v>https://www.stromypodkontrolou.cz/map/tree/d41bce85-5010-4276-b929-4760db78c679/89a7c911-c4e4-4f08-bd90-5caf87c55298</v>
      </c>
      <c r="Z135" s="11">
        <v>-760982.94685399998</v>
      </c>
      <c r="AA135" s="11">
        <v>-992109.05987999996</v>
      </c>
      <c r="AB135" s="11" t="str">
        <f>HYPERLINK("https://www.mapy.cz?st=search&amp;fr=50.51805471 14.06954181")</f>
        <v>https://www.mapy.cz?st=search&amp;fr=50.51805471 14.06954181</v>
      </c>
      <c r="AC135" s="6">
        <f t="shared" si="30"/>
        <v>418</v>
      </c>
      <c r="AD135" s="6" t="s">
        <v>879</v>
      </c>
      <c r="AE135" s="37"/>
    </row>
    <row r="136" spans="1:31" ht="28.5" customHeight="1" x14ac:dyDescent="0.2">
      <c r="A136" s="26" t="s">
        <v>267</v>
      </c>
      <c r="B136" s="12">
        <v>71</v>
      </c>
      <c r="C136" s="13" t="s">
        <v>581</v>
      </c>
      <c r="D136" s="14" t="s">
        <v>28</v>
      </c>
      <c r="E136" s="11" t="s">
        <v>29</v>
      </c>
      <c r="F136" s="12" t="s">
        <v>278</v>
      </c>
      <c r="G136" s="12"/>
      <c r="H136" s="12"/>
      <c r="I136" s="12"/>
      <c r="J136" s="12" t="s">
        <v>161</v>
      </c>
      <c r="K136" s="12" t="s">
        <v>103</v>
      </c>
      <c r="L136" s="12" t="s">
        <v>136</v>
      </c>
      <c r="M136" s="12" t="s">
        <v>34</v>
      </c>
      <c r="N136" s="12" t="s">
        <v>105</v>
      </c>
      <c r="O136" s="12" t="s">
        <v>36</v>
      </c>
      <c r="P136" s="12" t="s">
        <v>37</v>
      </c>
      <c r="Q136" s="12" t="s">
        <v>37</v>
      </c>
      <c r="R136" s="11"/>
      <c r="S136" s="11" t="s">
        <v>223</v>
      </c>
      <c r="T136" s="11" t="s">
        <v>277</v>
      </c>
      <c r="U136" s="11" t="s">
        <v>380</v>
      </c>
      <c r="V136" s="12" t="s">
        <v>95</v>
      </c>
      <c r="W136" s="12" t="s">
        <v>46</v>
      </c>
      <c r="X136" s="12" t="s">
        <v>407</v>
      </c>
      <c r="Y136" s="11" t="str">
        <f>HYPERLINK("https://www.stromypodkontrolou.cz/map/tree/d41bce85-5010-4276-b929-4760db78c679/18836241-1035-49fd-8323-190d88a24ef4")</f>
        <v>https://www.stromypodkontrolou.cz/map/tree/d41bce85-5010-4276-b929-4760db78c679/18836241-1035-49fd-8323-190d88a24ef4</v>
      </c>
      <c r="Z136" s="11">
        <v>-761142.18857300002</v>
      </c>
      <c r="AA136" s="11">
        <v>-992069.16200200003</v>
      </c>
      <c r="AB136" s="11" t="str">
        <f>HYPERLINK("https://www.mapy.cz?st=search&amp;fr=50.51820798 14.06723946")</f>
        <v>https://www.mapy.cz?st=search&amp;fr=50.51820798 14.06723946</v>
      </c>
      <c r="AC136" s="6">
        <f>(J136-K136)*L136</f>
        <v>350</v>
      </c>
      <c r="AD136" s="6" t="s">
        <v>871</v>
      </c>
      <c r="AE136" s="37"/>
    </row>
    <row r="137" spans="1:31" ht="28.5" customHeight="1" x14ac:dyDescent="0.2">
      <c r="A137" s="26" t="s">
        <v>267</v>
      </c>
      <c r="B137" s="12">
        <v>76</v>
      </c>
      <c r="C137" s="13" t="s">
        <v>582</v>
      </c>
      <c r="D137" s="14" t="s">
        <v>28</v>
      </c>
      <c r="E137" s="11" t="s">
        <v>29</v>
      </c>
      <c r="F137" s="12" t="s">
        <v>520</v>
      </c>
      <c r="G137" s="12"/>
      <c r="H137" s="12"/>
      <c r="I137" s="12"/>
      <c r="J137" s="12" t="s">
        <v>161</v>
      </c>
      <c r="K137" s="12" t="s">
        <v>103</v>
      </c>
      <c r="L137" s="12" t="s">
        <v>47</v>
      </c>
      <c r="M137" s="12" t="s">
        <v>34</v>
      </c>
      <c r="N137" s="12" t="s">
        <v>45</v>
      </c>
      <c r="O137" s="12" t="s">
        <v>46</v>
      </c>
      <c r="P137" s="12" t="s">
        <v>37</v>
      </c>
      <c r="Q137" s="12" t="s">
        <v>37</v>
      </c>
      <c r="R137" s="11" t="s">
        <v>200</v>
      </c>
      <c r="S137" s="11" t="s">
        <v>223</v>
      </c>
      <c r="T137" s="11" t="s">
        <v>277</v>
      </c>
      <c r="U137" s="11" t="s">
        <v>384</v>
      </c>
      <c r="V137" s="12" t="s">
        <v>95</v>
      </c>
      <c r="W137" s="12" t="s">
        <v>46</v>
      </c>
      <c r="X137" s="12" t="s">
        <v>388</v>
      </c>
      <c r="Y137" s="11" t="str">
        <f>HYPERLINK("https://www.stromypodkontrolou.cz/map/tree/d41bce85-5010-4276-b929-4760db78c679/5892aaef-d3e5-4786-acd9-03026bc19da2")</f>
        <v>https://www.stromypodkontrolou.cz/map/tree/d41bce85-5010-4276-b929-4760db78c679/5892aaef-d3e5-4786-acd9-03026bc19da2</v>
      </c>
      <c r="Z137" s="11">
        <v>-761168.27097299998</v>
      </c>
      <c r="AA137" s="11">
        <v>-992064.44131100003</v>
      </c>
      <c r="AB137" s="11" t="str">
        <f>HYPERLINK("https://www.mapy.cz?st=search&amp;fr=50.51821694 14.06686597")</f>
        <v>https://www.mapy.cz?st=search&amp;fr=50.51821694 14.06686597</v>
      </c>
      <c r="AC137" s="6">
        <f>(J137-K137)*L137</f>
        <v>300</v>
      </c>
      <c r="AD137" s="6" t="s">
        <v>879</v>
      </c>
      <c r="AE137" s="37"/>
    </row>
    <row r="138" spans="1:31" ht="35.1" customHeight="1" x14ac:dyDescent="0.2">
      <c r="A138" s="47" t="s">
        <v>267</v>
      </c>
      <c r="B138" s="46">
        <v>81</v>
      </c>
      <c r="C138" s="48" t="s">
        <v>583</v>
      </c>
      <c r="D138" s="49" t="s">
        <v>28</v>
      </c>
      <c r="E138" s="45" t="s">
        <v>29</v>
      </c>
      <c r="F138" s="46" t="s">
        <v>115</v>
      </c>
      <c r="G138" s="46"/>
      <c r="H138" s="46"/>
      <c r="I138" s="46"/>
      <c r="J138" s="46" t="s">
        <v>191</v>
      </c>
      <c r="K138" s="46" t="s">
        <v>103</v>
      </c>
      <c r="L138" s="46" t="s">
        <v>94</v>
      </c>
      <c r="M138" s="46" t="s">
        <v>34</v>
      </c>
      <c r="N138" s="46" t="s">
        <v>105</v>
      </c>
      <c r="O138" s="46" t="s">
        <v>36</v>
      </c>
      <c r="P138" s="46" t="s">
        <v>36</v>
      </c>
      <c r="Q138" s="46" t="s">
        <v>36</v>
      </c>
      <c r="R138" s="45"/>
      <c r="S138" s="45" t="s">
        <v>223</v>
      </c>
      <c r="T138" s="45" t="s">
        <v>279</v>
      </c>
      <c r="U138" s="11" t="s">
        <v>480</v>
      </c>
      <c r="V138" s="12" t="s">
        <v>95</v>
      </c>
      <c r="W138" s="12" t="s">
        <v>46</v>
      </c>
      <c r="X138" s="12" t="s">
        <v>422</v>
      </c>
      <c r="Y138" s="45" t="str">
        <f>HYPERLINK("https://www.stromypodkontrolou.cz/map/tree/d41bce85-5010-4276-b929-4760db78c679/88a79b33-5b58-4f30-b465-334bddfc2885")</f>
        <v>https://www.stromypodkontrolou.cz/map/tree/d41bce85-5010-4276-b929-4760db78c679/88a79b33-5b58-4f30-b465-334bddfc2885</v>
      </c>
      <c r="Z138" s="45">
        <v>-761292.33990200004</v>
      </c>
      <c r="AA138" s="45">
        <v>-992029.18744400004</v>
      </c>
      <c r="AB138" s="45" t="str">
        <f>HYPERLINK("https://www.mapy.cz?st=search&amp;fr=50.51837342 14.06506386")</f>
        <v>https://www.mapy.cz?st=search&amp;fr=50.51837342 14.06506386</v>
      </c>
      <c r="AC138" s="6">
        <f t="shared" ref="AC138:AC139" si="31">(J138-K138)*L138</f>
        <v>234</v>
      </c>
      <c r="AD138" s="6" t="s">
        <v>876</v>
      </c>
      <c r="AE138" s="37"/>
    </row>
    <row r="139" spans="1:31" ht="35.1" customHeight="1" x14ac:dyDescent="0.2">
      <c r="A139" s="47"/>
      <c r="B139" s="46"/>
      <c r="C139" s="48"/>
      <c r="D139" s="49"/>
      <c r="E139" s="45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5"/>
      <c r="S139" s="45"/>
      <c r="T139" s="45"/>
      <c r="U139" s="11" t="s">
        <v>382</v>
      </c>
      <c r="V139" s="12" t="s">
        <v>95</v>
      </c>
      <c r="W139" s="12" t="s">
        <v>46</v>
      </c>
      <c r="X139" s="12"/>
      <c r="Y139" s="45"/>
      <c r="Z139" s="45"/>
      <c r="AA139" s="45"/>
      <c r="AB139" s="45"/>
      <c r="AC139" s="6">
        <f t="shared" si="31"/>
        <v>0</v>
      </c>
      <c r="AD139" s="6" t="s">
        <v>870</v>
      </c>
      <c r="AE139" s="37"/>
    </row>
    <row r="140" spans="1:31" ht="35.1" customHeight="1" x14ac:dyDescent="0.2">
      <c r="A140" s="26" t="s">
        <v>267</v>
      </c>
      <c r="B140" s="12">
        <v>85</v>
      </c>
      <c r="C140" s="13" t="s">
        <v>584</v>
      </c>
      <c r="D140" s="14" t="s">
        <v>272</v>
      </c>
      <c r="E140" s="11" t="s">
        <v>273</v>
      </c>
      <c r="F140" s="12" t="s">
        <v>585</v>
      </c>
      <c r="G140" s="12"/>
      <c r="H140" s="12"/>
      <c r="I140" s="12"/>
      <c r="J140" s="12" t="s">
        <v>221</v>
      </c>
      <c r="K140" s="12" t="s">
        <v>103</v>
      </c>
      <c r="L140" s="12" t="s">
        <v>91</v>
      </c>
      <c r="M140" s="12" t="s">
        <v>95</v>
      </c>
      <c r="N140" s="12" t="s">
        <v>105</v>
      </c>
      <c r="O140" s="12" t="s">
        <v>46</v>
      </c>
      <c r="P140" s="12" t="s">
        <v>37</v>
      </c>
      <c r="Q140" s="12" t="s">
        <v>37</v>
      </c>
      <c r="R140" s="11" t="s">
        <v>159</v>
      </c>
      <c r="S140" s="11" t="s">
        <v>223</v>
      </c>
      <c r="T140" s="11" t="s">
        <v>279</v>
      </c>
      <c r="U140" s="11" t="s">
        <v>384</v>
      </c>
      <c r="V140" s="12" t="s">
        <v>95</v>
      </c>
      <c r="W140" s="12" t="s">
        <v>46</v>
      </c>
      <c r="X140" s="12" t="s">
        <v>388</v>
      </c>
      <c r="Y140" s="11" t="str">
        <f>HYPERLINK("https://www.stromypodkontrolou.cz/map/tree/d41bce85-5010-4276-b929-4760db78c679/9843f325-f6f4-4d97-990f-6e7b0de04703")</f>
        <v>https://www.stromypodkontrolou.cz/map/tree/d41bce85-5010-4276-b929-4760db78c679/9843f325-f6f4-4d97-990f-6e7b0de04703</v>
      </c>
      <c r="Z140" s="11">
        <v>-761581.66949</v>
      </c>
      <c r="AA140" s="11">
        <v>-991973.04241600004</v>
      </c>
      <c r="AB140" s="11" t="str">
        <f>HYPERLINK("https://www.mapy.cz?st=search&amp;fr=50.51850623 14.06091314")</f>
        <v>https://www.mapy.cz?st=search&amp;fr=50.51850623 14.06091314</v>
      </c>
      <c r="AC140" s="6">
        <f>(J140-K140)*L140</f>
        <v>567</v>
      </c>
      <c r="AD140" s="6" t="s">
        <v>868</v>
      </c>
      <c r="AE140" s="37"/>
    </row>
    <row r="141" spans="1:31" ht="35.1" customHeight="1" x14ac:dyDescent="0.2">
      <c r="A141" s="26" t="s">
        <v>267</v>
      </c>
      <c r="B141" s="12">
        <v>87</v>
      </c>
      <c r="C141" s="13" t="s">
        <v>586</v>
      </c>
      <c r="D141" s="14" t="s">
        <v>272</v>
      </c>
      <c r="E141" s="11" t="s">
        <v>273</v>
      </c>
      <c r="F141" s="12" t="s">
        <v>587</v>
      </c>
      <c r="G141" s="12"/>
      <c r="H141" s="12"/>
      <c r="I141" s="12"/>
      <c r="J141" s="12" t="s">
        <v>221</v>
      </c>
      <c r="K141" s="12" t="s">
        <v>103</v>
      </c>
      <c r="L141" s="12" t="s">
        <v>91</v>
      </c>
      <c r="M141" s="12" t="s">
        <v>95</v>
      </c>
      <c r="N141" s="12" t="s">
        <v>35</v>
      </c>
      <c r="O141" s="12" t="s">
        <v>46</v>
      </c>
      <c r="P141" s="12" t="s">
        <v>37</v>
      </c>
      <c r="Q141" s="12" t="s">
        <v>34</v>
      </c>
      <c r="R141" s="11" t="s">
        <v>159</v>
      </c>
      <c r="S141" s="11" t="s">
        <v>223</v>
      </c>
      <c r="T141" s="11" t="s">
        <v>279</v>
      </c>
      <c r="U141" s="11" t="s">
        <v>384</v>
      </c>
      <c r="V141" s="12" t="s">
        <v>95</v>
      </c>
      <c r="W141" s="12" t="s">
        <v>46</v>
      </c>
      <c r="X141" s="12" t="s">
        <v>388</v>
      </c>
      <c r="Y141" s="11" t="str">
        <f>HYPERLINK("https://www.stromypodkontrolou.cz/map/tree/d41bce85-5010-4276-b929-4760db78c679/ffe4036d-791c-432d-a516-671eb5be5834")</f>
        <v>https://www.stromypodkontrolou.cz/map/tree/d41bce85-5010-4276-b929-4760db78c679/ffe4036d-791c-432d-a516-671eb5be5834</v>
      </c>
      <c r="Z141" s="11">
        <v>-761593.09846100002</v>
      </c>
      <c r="AA141" s="11">
        <v>-991953.97689299996</v>
      </c>
      <c r="AB141" s="11" t="str">
        <f>HYPERLINK("https://www.mapy.cz?st=search&amp;fr=50.51866143 14.06071566")</f>
        <v>https://www.mapy.cz?st=search&amp;fr=50.51866143 14.06071566</v>
      </c>
      <c r="AC141" s="6">
        <f>(J141-K141)*L141</f>
        <v>567</v>
      </c>
      <c r="AD141" s="6" t="s">
        <v>868</v>
      </c>
      <c r="AE141" s="37"/>
    </row>
    <row r="142" spans="1:31" ht="35.1" customHeight="1" x14ac:dyDescent="0.2">
      <c r="A142" s="26" t="s">
        <v>267</v>
      </c>
      <c r="B142" s="12">
        <v>89</v>
      </c>
      <c r="C142" s="13" t="s">
        <v>588</v>
      </c>
      <c r="D142" s="14" t="s">
        <v>272</v>
      </c>
      <c r="E142" s="11" t="s">
        <v>273</v>
      </c>
      <c r="F142" s="12" t="s">
        <v>589</v>
      </c>
      <c r="G142" s="12"/>
      <c r="H142" s="12"/>
      <c r="I142" s="12"/>
      <c r="J142" s="12" t="s">
        <v>221</v>
      </c>
      <c r="K142" s="12" t="s">
        <v>103</v>
      </c>
      <c r="L142" s="12" t="s">
        <v>71</v>
      </c>
      <c r="M142" s="12" t="s">
        <v>95</v>
      </c>
      <c r="N142" s="12" t="s">
        <v>45</v>
      </c>
      <c r="O142" s="12" t="s">
        <v>36</v>
      </c>
      <c r="P142" s="12" t="s">
        <v>34</v>
      </c>
      <c r="Q142" s="12" t="s">
        <v>34</v>
      </c>
      <c r="R142" s="11" t="s">
        <v>590</v>
      </c>
      <c r="S142" s="11" t="s">
        <v>223</v>
      </c>
      <c r="T142" s="11" t="s">
        <v>279</v>
      </c>
      <c r="U142" s="11" t="s">
        <v>384</v>
      </c>
      <c r="V142" s="12" t="s">
        <v>95</v>
      </c>
      <c r="W142" s="12" t="s">
        <v>46</v>
      </c>
      <c r="X142" s="12" t="s">
        <v>388</v>
      </c>
      <c r="Y142" s="11" t="str">
        <f>HYPERLINK("https://www.stromypodkontrolou.cz/map/tree/d41bce85-5010-4276-b929-4760db78c679/0f507823-36cb-43d1-9767-ce2154ed1200")</f>
        <v>https://www.stromypodkontrolou.cz/map/tree/d41bce85-5010-4276-b929-4760db78c679/0f507823-36cb-43d1-9767-ce2154ed1200</v>
      </c>
      <c r="Z142" s="11">
        <v>-761578.88702100003</v>
      </c>
      <c r="AA142" s="11">
        <v>-991943.06828300003</v>
      </c>
      <c r="AB142" s="11" t="str">
        <f>HYPERLINK("https://www.mapy.cz?st=search&amp;fr=50.51877654 14.06089235")</f>
        <v>https://www.mapy.cz?st=search&amp;fr=50.51877654 14.06089235</v>
      </c>
      <c r="AC142" s="6">
        <f t="shared" ref="AC142:AC148" si="32">(J142-K142)*L142</f>
        <v>675</v>
      </c>
      <c r="AD142" s="6" t="s">
        <v>868</v>
      </c>
      <c r="AE142" s="37"/>
    </row>
    <row r="143" spans="1:31" ht="35.1" customHeight="1" x14ac:dyDescent="0.2">
      <c r="A143" s="26" t="s">
        <v>267</v>
      </c>
      <c r="B143" s="12">
        <v>91</v>
      </c>
      <c r="C143" s="13" t="s">
        <v>591</v>
      </c>
      <c r="D143" s="14" t="s">
        <v>272</v>
      </c>
      <c r="E143" s="11" t="s">
        <v>273</v>
      </c>
      <c r="F143" s="12" t="s">
        <v>592</v>
      </c>
      <c r="G143" s="12"/>
      <c r="H143" s="12"/>
      <c r="I143" s="12"/>
      <c r="J143" s="12" t="s">
        <v>221</v>
      </c>
      <c r="K143" s="12" t="s">
        <v>103</v>
      </c>
      <c r="L143" s="12" t="s">
        <v>71</v>
      </c>
      <c r="M143" s="12" t="s">
        <v>95</v>
      </c>
      <c r="N143" s="12" t="s">
        <v>45</v>
      </c>
      <c r="O143" s="12" t="s">
        <v>37</v>
      </c>
      <c r="P143" s="12" t="s">
        <v>34</v>
      </c>
      <c r="Q143" s="12" t="s">
        <v>95</v>
      </c>
      <c r="R143" s="11" t="s">
        <v>159</v>
      </c>
      <c r="S143" s="11" t="s">
        <v>223</v>
      </c>
      <c r="T143" s="11" t="s">
        <v>279</v>
      </c>
      <c r="U143" s="11" t="s">
        <v>384</v>
      </c>
      <c r="V143" s="12" t="s">
        <v>95</v>
      </c>
      <c r="W143" s="12" t="s">
        <v>46</v>
      </c>
      <c r="X143" s="12" t="s">
        <v>403</v>
      </c>
      <c r="Y143" s="11" t="str">
        <f>HYPERLINK("https://www.stromypodkontrolou.cz/map/tree/d41bce85-5010-4276-b929-4760db78c679/853537d5-6346-4124-ae78-3fd061e728e2")</f>
        <v>https://www.stromypodkontrolou.cz/map/tree/d41bce85-5010-4276-b929-4760db78c679/853537d5-6346-4124-ae78-3fd061e728e2</v>
      </c>
      <c r="Z143" s="11">
        <v>-761561.42770600005</v>
      </c>
      <c r="AA143" s="11">
        <v>-991950.82701200002</v>
      </c>
      <c r="AB143" s="11" t="str">
        <f>HYPERLINK("https://www.mapy.cz?st=search&amp;fr=50.51872963 14.06115152")</f>
        <v>https://www.mapy.cz?st=search&amp;fr=50.51872963 14.06115152</v>
      </c>
      <c r="AC143" s="6">
        <f t="shared" si="32"/>
        <v>675</v>
      </c>
      <c r="AD143" s="6" t="s">
        <v>868</v>
      </c>
      <c r="AE143" s="37"/>
    </row>
    <row r="144" spans="1:31" ht="35.1" customHeight="1" x14ac:dyDescent="0.2">
      <c r="A144" s="26" t="s">
        <v>267</v>
      </c>
      <c r="B144" s="12">
        <v>93</v>
      </c>
      <c r="C144" s="13" t="s">
        <v>593</v>
      </c>
      <c r="D144" s="14" t="s">
        <v>272</v>
      </c>
      <c r="E144" s="11" t="s">
        <v>273</v>
      </c>
      <c r="F144" s="12" t="s">
        <v>594</v>
      </c>
      <c r="G144" s="12"/>
      <c r="H144" s="12"/>
      <c r="I144" s="12"/>
      <c r="J144" s="12" t="s">
        <v>221</v>
      </c>
      <c r="K144" s="12" t="s">
        <v>103</v>
      </c>
      <c r="L144" s="12" t="s">
        <v>71</v>
      </c>
      <c r="M144" s="12" t="s">
        <v>95</v>
      </c>
      <c r="N144" s="12" t="s">
        <v>45</v>
      </c>
      <c r="O144" s="12" t="s">
        <v>37</v>
      </c>
      <c r="P144" s="12" t="s">
        <v>34</v>
      </c>
      <c r="Q144" s="12" t="s">
        <v>34</v>
      </c>
      <c r="R144" s="11" t="s">
        <v>214</v>
      </c>
      <c r="S144" s="11" t="s">
        <v>223</v>
      </c>
      <c r="T144" s="11" t="s">
        <v>279</v>
      </c>
      <c r="U144" s="11" t="s">
        <v>384</v>
      </c>
      <c r="V144" s="12" t="s">
        <v>95</v>
      </c>
      <c r="W144" s="12" t="s">
        <v>46</v>
      </c>
      <c r="X144" s="12" t="s">
        <v>403</v>
      </c>
      <c r="Y144" s="11" t="str">
        <f>HYPERLINK("https://www.stromypodkontrolou.cz/map/tree/d41bce85-5010-4276-b929-4760db78c679/08704abf-7819-4b9f-85c7-6ac7b5770a47")</f>
        <v>https://www.stromypodkontrolou.cz/map/tree/d41bce85-5010-4276-b929-4760db78c679/08704abf-7819-4b9f-85c7-6ac7b5770a47</v>
      </c>
      <c r="Z144" s="11">
        <v>-761525.87418599997</v>
      </c>
      <c r="AA144" s="11">
        <v>-991960.20466299995</v>
      </c>
      <c r="AB144" s="11" t="str">
        <f>HYPERLINK("https://www.mapy.cz?st=search&amp;fr=50.51869126 14.06166650")</f>
        <v>https://www.mapy.cz?st=search&amp;fr=50.51869126 14.06166650</v>
      </c>
      <c r="AC144" s="6">
        <f t="shared" si="32"/>
        <v>675</v>
      </c>
      <c r="AD144" s="6" t="s">
        <v>868</v>
      </c>
      <c r="AE144" s="37"/>
    </row>
    <row r="145" spans="1:31" ht="35.1" customHeight="1" x14ac:dyDescent="0.2">
      <c r="A145" s="26" t="s">
        <v>267</v>
      </c>
      <c r="B145" s="12">
        <v>95</v>
      </c>
      <c r="C145" s="13" t="s">
        <v>595</v>
      </c>
      <c r="D145" s="14" t="s">
        <v>272</v>
      </c>
      <c r="E145" s="11" t="s">
        <v>273</v>
      </c>
      <c r="F145" s="12" t="s">
        <v>596</v>
      </c>
      <c r="G145" s="12"/>
      <c r="H145" s="12"/>
      <c r="I145" s="12"/>
      <c r="J145" s="12" t="s">
        <v>221</v>
      </c>
      <c r="K145" s="12" t="s">
        <v>103</v>
      </c>
      <c r="L145" s="12" t="s">
        <v>71</v>
      </c>
      <c r="M145" s="12" t="s">
        <v>95</v>
      </c>
      <c r="N145" s="12" t="s">
        <v>105</v>
      </c>
      <c r="O145" s="12" t="s">
        <v>46</v>
      </c>
      <c r="P145" s="12" t="s">
        <v>37</v>
      </c>
      <c r="Q145" s="12" t="s">
        <v>37</v>
      </c>
      <c r="R145" s="11" t="s">
        <v>597</v>
      </c>
      <c r="S145" s="11" t="s">
        <v>223</v>
      </c>
      <c r="T145" s="11" t="s">
        <v>279</v>
      </c>
      <c r="U145" s="11" t="s">
        <v>480</v>
      </c>
      <c r="V145" s="12" t="s">
        <v>95</v>
      </c>
      <c r="W145" s="12" t="s">
        <v>46</v>
      </c>
      <c r="X145" s="12" t="s">
        <v>422</v>
      </c>
      <c r="Y145" s="11" t="str">
        <f>HYPERLINK("https://www.stromypodkontrolou.cz/map/tree/d41bce85-5010-4276-b929-4760db78c679/0ea338d7-5102-4ab1-b555-41dd0cd0621c")</f>
        <v>https://www.stromypodkontrolou.cz/map/tree/d41bce85-5010-4276-b929-4760db78c679/0ea338d7-5102-4ab1-b555-41dd0cd0621c</v>
      </c>
      <c r="Z145" s="11">
        <v>-761512.74483099999</v>
      </c>
      <c r="AA145" s="11">
        <v>-991963.96770299994</v>
      </c>
      <c r="AB145" s="11" t="str">
        <f>HYPERLINK("https://www.mapy.cz?st=search&amp;fr=50.51867442 14.06185728")</f>
        <v>https://www.mapy.cz?st=search&amp;fr=50.51867442 14.06185728</v>
      </c>
      <c r="AC145" s="6">
        <f t="shared" si="32"/>
        <v>675</v>
      </c>
      <c r="AD145" s="6" t="s">
        <v>872</v>
      </c>
      <c r="AE145" s="37"/>
    </row>
    <row r="146" spans="1:31" ht="35.1" customHeight="1" x14ac:dyDescent="0.2">
      <c r="A146" s="26" t="s">
        <v>267</v>
      </c>
      <c r="B146" s="12">
        <v>96</v>
      </c>
      <c r="C146" s="13" t="s">
        <v>598</v>
      </c>
      <c r="D146" s="14" t="s">
        <v>272</v>
      </c>
      <c r="E146" s="11" t="s">
        <v>273</v>
      </c>
      <c r="F146" s="12" t="s">
        <v>599</v>
      </c>
      <c r="G146" s="12"/>
      <c r="H146" s="12"/>
      <c r="I146" s="12"/>
      <c r="J146" s="12" t="s">
        <v>221</v>
      </c>
      <c r="K146" s="12" t="s">
        <v>103</v>
      </c>
      <c r="L146" s="12" t="s">
        <v>71</v>
      </c>
      <c r="M146" s="12" t="s">
        <v>95</v>
      </c>
      <c r="N146" s="12" t="s">
        <v>105</v>
      </c>
      <c r="O146" s="12" t="s">
        <v>36</v>
      </c>
      <c r="P146" s="12" t="s">
        <v>37</v>
      </c>
      <c r="Q146" s="12" t="s">
        <v>34</v>
      </c>
      <c r="R146" s="11" t="s">
        <v>185</v>
      </c>
      <c r="S146" s="11" t="s">
        <v>223</v>
      </c>
      <c r="T146" s="11" t="s">
        <v>279</v>
      </c>
      <c r="U146" s="11" t="s">
        <v>384</v>
      </c>
      <c r="V146" s="12" t="s">
        <v>95</v>
      </c>
      <c r="W146" s="12" t="s">
        <v>46</v>
      </c>
      <c r="X146" s="12" t="s">
        <v>388</v>
      </c>
      <c r="Y146" s="11" t="str">
        <f>HYPERLINK("https://www.stromypodkontrolou.cz/map/tree/d41bce85-5010-4276-b929-4760db78c679/b0b1a80c-ae49-4e80-9dbd-46e420a8865e")</f>
        <v>https://www.stromypodkontrolou.cz/map/tree/d41bce85-5010-4276-b929-4760db78c679/b0b1a80c-ae49-4e80-9dbd-46e420a8865e</v>
      </c>
      <c r="Z146" s="11">
        <v>-761484.93649700005</v>
      </c>
      <c r="AA146" s="11">
        <v>-991975.11426199996</v>
      </c>
      <c r="AB146" s="11" t="str">
        <f>HYPERLINK("https://www.mapy.cz?st=search&amp;fr=50.51861048 14.06226765")</f>
        <v>https://www.mapy.cz?st=search&amp;fr=50.51861048 14.06226765</v>
      </c>
      <c r="AC146" s="6">
        <f t="shared" si="32"/>
        <v>675</v>
      </c>
      <c r="AD146" s="6" t="s">
        <v>868</v>
      </c>
      <c r="AE146" s="37"/>
    </row>
    <row r="147" spans="1:31" ht="35.1" customHeight="1" x14ac:dyDescent="0.2">
      <c r="A147" s="26" t="s">
        <v>267</v>
      </c>
      <c r="B147" s="12">
        <v>98</v>
      </c>
      <c r="C147" s="13" t="s">
        <v>600</v>
      </c>
      <c r="D147" s="14" t="s">
        <v>272</v>
      </c>
      <c r="E147" s="11" t="s">
        <v>273</v>
      </c>
      <c r="F147" s="12" t="s">
        <v>601</v>
      </c>
      <c r="G147" s="12"/>
      <c r="H147" s="12"/>
      <c r="I147" s="12"/>
      <c r="J147" s="12" t="s">
        <v>221</v>
      </c>
      <c r="K147" s="12" t="s">
        <v>103</v>
      </c>
      <c r="L147" s="12" t="s">
        <v>71</v>
      </c>
      <c r="M147" s="12" t="s">
        <v>95</v>
      </c>
      <c r="N147" s="12" t="s">
        <v>45</v>
      </c>
      <c r="O147" s="12" t="s">
        <v>46</v>
      </c>
      <c r="P147" s="12" t="s">
        <v>34</v>
      </c>
      <c r="Q147" s="12" t="s">
        <v>34</v>
      </c>
      <c r="R147" s="11" t="s">
        <v>159</v>
      </c>
      <c r="S147" s="11" t="s">
        <v>223</v>
      </c>
      <c r="T147" s="11" t="s">
        <v>279</v>
      </c>
      <c r="U147" s="11" t="s">
        <v>384</v>
      </c>
      <c r="V147" s="12" t="s">
        <v>95</v>
      </c>
      <c r="W147" s="12" t="s">
        <v>46</v>
      </c>
      <c r="X147" s="12" t="s">
        <v>403</v>
      </c>
      <c r="Y147" s="11" t="str">
        <f>HYPERLINK("https://www.stromypodkontrolou.cz/map/tree/d41bce85-5010-4276-b929-4760db78c679/0d0ab476-a565-48a8-9a84-116939864b44")</f>
        <v>https://www.stromypodkontrolou.cz/map/tree/d41bce85-5010-4276-b929-4760db78c679/0d0ab476-a565-48a8-9a84-116939864b44</v>
      </c>
      <c r="Z147" s="11">
        <v>-761462.167747</v>
      </c>
      <c r="AA147" s="11">
        <v>-991982.69372099999</v>
      </c>
      <c r="AB147" s="11" t="str">
        <f>HYPERLINK("https://www.mapy.cz?st=search&amp;fr=50.51857189 14.06260058")</f>
        <v>https://www.mapy.cz?st=search&amp;fr=50.51857189 14.06260058</v>
      </c>
      <c r="AC147" s="6">
        <f t="shared" si="32"/>
        <v>675</v>
      </c>
      <c r="AD147" s="6" t="s">
        <v>868</v>
      </c>
      <c r="AE147" s="37"/>
    </row>
    <row r="148" spans="1:31" ht="35.1" customHeight="1" x14ac:dyDescent="0.2">
      <c r="A148" s="26" t="s">
        <v>267</v>
      </c>
      <c r="B148" s="12">
        <v>99</v>
      </c>
      <c r="C148" s="13" t="s">
        <v>602</v>
      </c>
      <c r="D148" s="14" t="s">
        <v>28</v>
      </c>
      <c r="E148" s="11" t="s">
        <v>29</v>
      </c>
      <c r="F148" s="12" t="s">
        <v>270</v>
      </c>
      <c r="G148" s="12"/>
      <c r="H148" s="12"/>
      <c r="I148" s="12"/>
      <c r="J148" s="12" t="s">
        <v>229</v>
      </c>
      <c r="K148" s="12" t="s">
        <v>99</v>
      </c>
      <c r="L148" s="12" t="s">
        <v>41</v>
      </c>
      <c r="M148" s="12" t="s">
        <v>34</v>
      </c>
      <c r="N148" s="12" t="s">
        <v>105</v>
      </c>
      <c r="O148" s="12" t="s">
        <v>46</v>
      </c>
      <c r="P148" s="12" t="s">
        <v>37</v>
      </c>
      <c r="Q148" s="12" t="s">
        <v>34</v>
      </c>
      <c r="R148" s="11" t="s">
        <v>159</v>
      </c>
      <c r="S148" s="11" t="s">
        <v>223</v>
      </c>
      <c r="T148" s="11" t="s">
        <v>279</v>
      </c>
      <c r="U148" s="11" t="s">
        <v>384</v>
      </c>
      <c r="V148" s="12" t="s">
        <v>95</v>
      </c>
      <c r="W148" s="12" t="s">
        <v>46</v>
      </c>
      <c r="X148" s="12" t="s">
        <v>388</v>
      </c>
      <c r="Y148" s="11" t="str">
        <f>HYPERLINK("https://www.stromypodkontrolou.cz/map/tree/d41bce85-5010-4276-b929-4760db78c679/c4de59c8-8642-4c24-96c5-8015e2060545")</f>
        <v>https://www.stromypodkontrolou.cz/map/tree/d41bce85-5010-4276-b929-4760db78c679/c4de59c8-8642-4c24-96c5-8015e2060545</v>
      </c>
      <c r="Z148" s="11">
        <v>-761439.07653199998</v>
      </c>
      <c r="AA148" s="11">
        <v>-991994.24708200002</v>
      </c>
      <c r="AB148" s="11" t="str">
        <f>HYPERLINK("https://www.mapy.cz?st=search&amp;fr=50.51849835 14.06294592")</f>
        <v>https://www.mapy.cz?st=search&amp;fr=50.51849835 14.06294592</v>
      </c>
      <c r="AC148" s="6">
        <f t="shared" si="32"/>
        <v>336</v>
      </c>
      <c r="AD148" s="6" t="s">
        <v>879</v>
      </c>
      <c r="AE148" s="37"/>
    </row>
    <row r="149" spans="1:31" ht="35.1" customHeight="1" x14ac:dyDescent="0.2">
      <c r="A149" s="26" t="s">
        <v>267</v>
      </c>
      <c r="B149" s="12">
        <v>104</v>
      </c>
      <c r="C149" s="13" t="s">
        <v>603</v>
      </c>
      <c r="D149" s="14" t="s">
        <v>28</v>
      </c>
      <c r="E149" s="11" t="s">
        <v>29</v>
      </c>
      <c r="F149" s="12" t="s">
        <v>225</v>
      </c>
      <c r="G149" s="12"/>
      <c r="H149" s="12"/>
      <c r="I149" s="12"/>
      <c r="J149" s="12" t="s">
        <v>191</v>
      </c>
      <c r="K149" s="12" t="s">
        <v>103</v>
      </c>
      <c r="L149" s="12" t="s">
        <v>94</v>
      </c>
      <c r="M149" s="12" t="s">
        <v>34</v>
      </c>
      <c r="N149" s="12" t="s">
        <v>45</v>
      </c>
      <c r="O149" s="12" t="s">
        <v>36</v>
      </c>
      <c r="P149" s="12" t="s">
        <v>37</v>
      </c>
      <c r="Q149" s="12" t="s">
        <v>34</v>
      </c>
      <c r="R149" s="11" t="s">
        <v>159</v>
      </c>
      <c r="S149" s="11" t="s">
        <v>223</v>
      </c>
      <c r="T149" s="11" t="s">
        <v>276</v>
      </c>
      <c r="U149" s="11" t="s">
        <v>384</v>
      </c>
      <c r="V149" s="12" t="s">
        <v>95</v>
      </c>
      <c r="W149" s="12" t="s">
        <v>46</v>
      </c>
      <c r="X149" s="12" t="s">
        <v>403</v>
      </c>
      <c r="Y149" s="11" t="str">
        <f>HYPERLINK("https://www.stromypodkontrolou.cz/map/tree/d41bce85-5010-4276-b929-4760db78c679/24ec703c-a574-4532-84e0-e71d4a702ac5")</f>
        <v>https://www.stromypodkontrolou.cz/map/tree/d41bce85-5010-4276-b929-4760db78c679/24ec703c-a574-4532-84e0-e71d4a702ac5</v>
      </c>
      <c r="Z149" s="11">
        <v>-761427.80038200004</v>
      </c>
      <c r="AA149" s="11">
        <v>-992032.76320699998</v>
      </c>
      <c r="AB149" s="11" t="str">
        <f>HYPERLINK("https://www.mapy.cz?st=search&amp;fr=50.51816984 14.06317994")</f>
        <v>https://www.mapy.cz?st=search&amp;fr=50.51816984 14.06317994</v>
      </c>
      <c r="AC149" s="6">
        <f t="shared" ref="AC149:AC160" si="33">(J149-K149)*L149</f>
        <v>234</v>
      </c>
      <c r="AD149" s="6" t="s">
        <v>879</v>
      </c>
      <c r="AE149" s="37"/>
    </row>
    <row r="150" spans="1:31" ht="35.1" customHeight="1" x14ac:dyDescent="0.2">
      <c r="A150" s="47" t="s">
        <v>267</v>
      </c>
      <c r="B150" s="46">
        <v>105</v>
      </c>
      <c r="C150" s="48" t="s">
        <v>604</v>
      </c>
      <c r="D150" s="49" t="s">
        <v>28</v>
      </c>
      <c r="E150" s="45" t="s">
        <v>29</v>
      </c>
      <c r="F150" s="46" t="s">
        <v>605</v>
      </c>
      <c r="G150" s="46"/>
      <c r="H150" s="46"/>
      <c r="I150" s="46"/>
      <c r="J150" s="46" t="s">
        <v>191</v>
      </c>
      <c r="K150" s="46" t="s">
        <v>103</v>
      </c>
      <c r="L150" s="46" t="s">
        <v>94</v>
      </c>
      <c r="M150" s="46" t="s">
        <v>34</v>
      </c>
      <c r="N150" s="46" t="s">
        <v>105</v>
      </c>
      <c r="O150" s="46" t="s">
        <v>36</v>
      </c>
      <c r="P150" s="46" t="s">
        <v>36</v>
      </c>
      <c r="Q150" s="46" t="s">
        <v>36</v>
      </c>
      <c r="R150" s="45"/>
      <c r="S150" s="45" t="s">
        <v>223</v>
      </c>
      <c r="T150" s="45" t="s">
        <v>279</v>
      </c>
      <c r="U150" s="11" t="s">
        <v>480</v>
      </c>
      <c r="V150" s="12" t="s">
        <v>95</v>
      </c>
      <c r="W150" s="12" t="s">
        <v>46</v>
      </c>
      <c r="X150" s="12" t="s">
        <v>422</v>
      </c>
      <c r="Y150" s="45" t="str">
        <f>HYPERLINK("https://www.stromypodkontrolou.cz/map/tree/d41bce85-5010-4276-b929-4760db78c679/6f44bd19-5e42-48ce-94bb-306c05c7007c")</f>
        <v>https://www.stromypodkontrolou.cz/map/tree/d41bce85-5010-4276-b929-4760db78c679/6f44bd19-5e42-48ce-94bb-306c05c7007c</v>
      </c>
      <c r="Z150" s="45">
        <v>-761415.12817299995</v>
      </c>
      <c r="AA150" s="45">
        <v>-992023.38456399995</v>
      </c>
      <c r="AB150" s="45" t="str">
        <f>HYPERLINK("https://www.mapy.cz?st=search&amp;fr=50.51826938 14.06333819")</f>
        <v>https://www.mapy.cz?st=search&amp;fr=50.51826938 14.06333819</v>
      </c>
      <c r="AC150" s="6">
        <f t="shared" si="33"/>
        <v>234</v>
      </c>
      <c r="AD150" s="6" t="s">
        <v>876</v>
      </c>
      <c r="AE150" s="37"/>
    </row>
    <row r="151" spans="1:31" ht="35.1" customHeight="1" x14ac:dyDescent="0.2">
      <c r="A151" s="47"/>
      <c r="B151" s="46"/>
      <c r="C151" s="48"/>
      <c r="D151" s="49"/>
      <c r="E151" s="45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5"/>
      <c r="S151" s="45"/>
      <c r="T151" s="45"/>
      <c r="U151" s="11" t="s">
        <v>382</v>
      </c>
      <c r="V151" s="12" t="s">
        <v>95</v>
      </c>
      <c r="W151" s="12" t="s">
        <v>46</v>
      </c>
      <c r="X151" s="12"/>
      <c r="Y151" s="45"/>
      <c r="Z151" s="45"/>
      <c r="AA151" s="45"/>
      <c r="AB151" s="45"/>
      <c r="AC151" s="6">
        <f t="shared" si="33"/>
        <v>0</v>
      </c>
      <c r="AD151" s="6" t="s">
        <v>870</v>
      </c>
      <c r="AE151" s="37"/>
    </row>
    <row r="152" spans="1:31" ht="35.1" customHeight="1" x14ac:dyDescent="0.2">
      <c r="A152" s="47" t="s">
        <v>267</v>
      </c>
      <c r="B152" s="46">
        <v>106</v>
      </c>
      <c r="C152" s="48" t="s">
        <v>606</v>
      </c>
      <c r="D152" s="49" t="s">
        <v>28</v>
      </c>
      <c r="E152" s="45" t="s">
        <v>29</v>
      </c>
      <c r="F152" s="46" t="s">
        <v>330</v>
      </c>
      <c r="G152" s="46" t="s">
        <v>81</v>
      </c>
      <c r="H152" s="46"/>
      <c r="I152" s="46"/>
      <c r="J152" s="46" t="s">
        <v>31</v>
      </c>
      <c r="K152" s="46" t="s">
        <v>103</v>
      </c>
      <c r="L152" s="46" t="s">
        <v>41</v>
      </c>
      <c r="M152" s="46" t="s">
        <v>95</v>
      </c>
      <c r="N152" s="46" t="s">
        <v>105</v>
      </c>
      <c r="O152" s="46" t="s">
        <v>46</v>
      </c>
      <c r="P152" s="46" t="s">
        <v>37</v>
      </c>
      <c r="Q152" s="46" t="s">
        <v>37</v>
      </c>
      <c r="R152" s="45" t="s">
        <v>159</v>
      </c>
      <c r="S152" s="45" t="s">
        <v>223</v>
      </c>
      <c r="T152" s="45" t="s">
        <v>279</v>
      </c>
      <c r="U152" s="11" t="s">
        <v>384</v>
      </c>
      <c r="V152" s="12" t="s">
        <v>95</v>
      </c>
      <c r="W152" s="12" t="s">
        <v>46</v>
      </c>
      <c r="X152" s="12" t="s">
        <v>388</v>
      </c>
      <c r="Y152" s="45" t="str">
        <f>HYPERLINK("https://www.stromypodkontrolou.cz/map/tree/d41bce85-5010-4276-b929-4760db78c679/4a42f34e-2ab1-4bd4-b6c2-0c725e5a52b3")</f>
        <v>https://www.stromypodkontrolou.cz/map/tree/d41bce85-5010-4276-b929-4760db78c679/4a42f34e-2ab1-4bd4-b6c2-0c725e5a52b3</v>
      </c>
      <c r="Z152" s="45">
        <v>-761407.64852399996</v>
      </c>
      <c r="AA152" s="45">
        <v>-992025.67174599995</v>
      </c>
      <c r="AB152" s="45" t="str">
        <f>HYPERLINK("https://www.mapy.cz?st=search&amp;fr=50.51825851 14.06344716")</f>
        <v>https://www.mapy.cz?st=search&amp;fr=50.51825851 14.06344716</v>
      </c>
      <c r="AC152" s="6">
        <f t="shared" si="33"/>
        <v>352</v>
      </c>
      <c r="AD152" s="6" t="s">
        <v>879</v>
      </c>
      <c r="AE152" s="37"/>
    </row>
    <row r="153" spans="1:31" ht="35.1" customHeight="1" x14ac:dyDescent="0.2">
      <c r="A153" s="47"/>
      <c r="B153" s="46"/>
      <c r="C153" s="48"/>
      <c r="D153" s="49"/>
      <c r="E153" s="45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5"/>
      <c r="S153" s="45"/>
      <c r="T153" s="45"/>
      <c r="U153" s="11" t="s">
        <v>382</v>
      </c>
      <c r="V153" s="12" t="s">
        <v>95</v>
      </c>
      <c r="W153" s="12" t="s">
        <v>46</v>
      </c>
      <c r="X153" s="12"/>
      <c r="Y153" s="45"/>
      <c r="Z153" s="45"/>
      <c r="AA153" s="45"/>
      <c r="AB153" s="45"/>
      <c r="AC153" s="6">
        <f t="shared" si="33"/>
        <v>0</v>
      </c>
      <c r="AD153" s="6" t="s">
        <v>875</v>
      </c>
      <c r="AE153" s="37"/>
    </row>
    <row r="154" spans="1:31" ht="35.1" customHeight="1" x14ac:dyDescent="0.2">
      <c r="A154" s="26" t="s">
        <v>267</v>
      </c>
      <c r="B154" s="12">
        <v>108</v>
      </c>
      <c r="C154" s="13" t="s">
        <v>607</v>
      </c>
      <c r="D154" s="14" t="s">
        <v>28</v>
      </c>
      <c r="E154" s="11" t="s">
        <v>29</v>
      </c>
      <c r="F154" s="12" t="s">
        <v>234</v>
      </c>
      <c r="G154" s="12"/>
      <c r="H154" s="12"/>
      <c r="I154" s="12"/>
      <c r="J154" s="12" t="s">
        <v>191</v>
      </c>
      <c r="K154" s="12" t="s">
        <v>103</v>
      </c>
      <c r="L154" s="12" t="s">
        <v>94</v>
      </c>
      <c r="M154" s="12" t="s">
        <v>34</v>
      </c>
      <c r="N154" s="12" t="s">
        <v>45</v>
      </c>
      <c r="O154" s="12" t="s">
        <v>36</v>
      </c>
      <c r="P154" s="12" t="s">
        <v>37</v>
      </c>
      <c r="Q154" s="12" t="s">
        <v>37</v>
      </c>
      <c r="R154" s="11" t="s">
        <v>153</v>
      </c>
      <c r="S154" s="11" t="s">
        <v>223</v>
      </c>
      <c r="T154" s="11" t="s">
        <v>279</v>
      </c>
      <c r="U154" s="11" t="s">
        <v>384</v>
      </c>
      <c r="V154" s="12" t="s">
        <v>95</v>
      </c>
      <c r="W154" s="12" t="s">
        <v>46</v>
      </c>
      <c r="X154" s="12" t="s">
        <v>388</v>
      </c>
      <c r="Y154" s="11" t="str">
        <f>HYPERLINK("https://www.stromypodkontrolou.cz/map/tree/d41bce85-5010-4276-b929-4760db78c679/c27de6e3-decd-4e02-87fd-9f82c6586bf2")</f>
        <v>https://www.stromypodkontrolou.cz/map/tree/d41bce85-5010-4276-b929-4760db78c679/c27de6e3-decd-4e02-87fd-9f82c6586bf2</v>
      </c>
      <c r="Z154" s="11">
        <v>-761418.55444700003</v>
      </c>
      <c r="AA154" s="11">
        <v>-991996.69331500004</v>
      </c>
      <c r="AB154" s="11" t="str">
        <f>HYPERLINK("https://www.mapy.cz?st=search&amp;fr=50.51850260 14.06323727")</f>
        <v>https://www.mapy.cz?st=search&amp;fr=50.51850260 14.06323727</v>
      </c>
      <c r="AC154" s="6">
        <f t="shared" si="33"/>
        <v>234</v>
      </c>
      <c r="AD154" s="6" t="s">
        <v>865</v>
      </c>
      <c r="AE154" s="37"/>
    </row>
    <row r="155" spans="1:31" ht="35.1" customHeight="1" x14ac:dyDescent="0.2">
      <c r="A155" s="26" t="s">
        <v>267</v>
      </c>
      <c r="B155" s="12">
        <v>110</v>
      </c>
      <c r="C155" s="13" t="s">
        <v>608</v>
      </c>
      <c r="D155" s="14" t="s">
        <v>272</v>
      </c>
      <c r="E155" s="11" t="s">
        <v>273</v>
      </c>
      <c r="F155" s="12" t="s">
        <v>609</v>
      </c>
      <c r="G155" s="12"/>
      <c r="H155" s="12"/>
      <c r="I155" s="12"/>
      <c r="J155" s="12" t="s">
        <v>221</v>
      </c>
      <c r="K155" s="12" t="s">
        <v>103</v>
      </c>
      <c r="L155" s="12" t="s">
        <v>71</v>
      </c>
      <c r="M155" s="12" t="s">
        <v>95</v>
      </c>
      <c r="N155" s="12" t="s">
        <v>105</v>
      </c>
      <c r="O155" s="12" t="s">
        <v>36</v>
      </c>
      <c r="P155" s="12" t="s">
        <v>37</v>
      </c>
      <c r="Q155" s="12" t="s">
        <v>34</v>
      </c>
      <c r="R155" s="11" t="s">
        <v>159</v>
      </c>
      <c r="S155" s="11" t="s">
        <v>223</v>
      </c>
      <c r="T155" s="11" t="s">
        <v>279</v>
      </c>
      <c r="U155" s="11" t="s">
        <v>384</v>
      </c>
      <c r="V155" s="12" t="s">
        <v>95</v>
      </c>
      <c r="W155" s="12" t="s">
        <v>46</v>
      </c>
      <c r="X155" s="12" t="s">
        <v>388</v>
      </c>
      <c r="Y155" s="11" t="str">
        <f>HYPERLINK("https://www.stromypodkontrolou.cz/map/tree/d41bce85-5010-4276-b929-4760db78c679/fe40b73d-e9f1-4d15-bfed-55daff5e6aa7")</f>
        <v>https://www.stromypodkontrolou.cz/map/tree/d41bce85-5010-4276-b929-4760db78c679/fe40b73d-e9f1-4d15-bfed-55daff5e6aa7</v>
      </c>
      <c r="Z155" s="11">
        <v>-761409.77134099999</v>
      </c>
      <c r="AA155" s="11">
        <v>-992001.96854599996</v>
      </c>
      <c r="AB155" s="11" t="str">
        <f>HYPERLINK("https://www.mapy.cz?st=search&amp;fr=50.51846678 14.06337038")</f>
        <v>https://www.mapy.cz?st=search&amp;fr=50.51846678 14.06337038</v>
      </c>
      <c r="AC155" s="6">
        <f t="shared" si="33"/>
        <v>675</v>
      </c>
      <c r="AD155" s="6" t="s">
        <v>868</v>
      </c>
      <c r="AE155" s="37"/>
    </row>
    <row r="156" spans="1:31" ht="35.1" customHeight="1" x14ac:dyDescent="0.2">
      <c r="A156" s="26" t="s">
        <v>267</v>
      </c>
      <c r="B156" s="12">
        <v>112</v>
      </c>
      <c r="C156" s="13" t="s">
        <v>610</v>
      </c>
      <c r="D156" s="14" t="s">
        <v>272</v>
      </c>
      <c r="E156" s="11" t="s">
        <v>273</v>
      </c>
      <c r="F156" s="12" t="s">
        <v>548</v>
      </c>
      <c r="G156" s="12"/>
      <c r="H156" s="12"/>
      <c r="I156" s="12"/>
      <c r="J156" s="12" t="s">
        <v>221</v>
      </c>
      <c r="K156" s="12" t="s">
        <v>103</v>
      </c>
      <c r="L156" s="12" t="s">
        <v>71</v>
      </c>
      <c r="M156" s="12" t="s">
        <v>95</v>
      </c>
      <c r="N156" s="12" t="s">
        <v>45</v>
      </c>
      <c r="O156" s="12" t="s">
        <v>36</v>
      </c>
      <c r="P156" s="12" t="s">
        <v>34</v>
      </c>
      <c r="Q156" s="12" t="s">
        <v>34</v>
      </c>
      <c r="R156" s="11" t="s">
        <v>210</v>
      </c>
      <c r="S156" s="11" t="s">
        <v>223</v>
      </c>
      <c r="T156" s="11" t="s">
        <v>279</v>
      </c>
      <c r="U156" s="11" t="s">
        <v>384</v>
      </c>
      <c r="V156" s="12" t="s">
        <v>95</v>
      </c>
      <c r="W156" s="12" t="s">
        <v>46</v>
      </c>
      <c r="X156" s="12" t="s">
        <v>403</v>
      </c>
      <c r="Y156" s="11" t="str">
        <f>HYPERLINK("https://www.stromypodkontrolou.cz/map/tree/d41bce85-5010-4276-b929-4760db78c679/c232cef0-8aaf-49e9-aea5-1bb881554825")</f>
        <v>https://www.stromypodkontrolou.cz/map/tree/d41bce85-5010-4276-b929-4760db78c679/c232cef0-8aaf-49e9-aea5-1bb881554825</v>
      </c>
      <c r="Z156" s="11">
        <v>-761381.63349499996</v>
      </c>
      <c r="AA156" s="11">
        <v>-992012.65850200003</v>
      </c>
      <c r="AB156" s="11" t="str">
        <f>HYPERLINK("https://www.mapy.cz?st=search&amp;fr=50.51840732 14.06378444")</f>
        <v>https://www.mapy.cz?st=search&amp;fr=50.51840732 14.06378444</v>
      </c>
      <c r="AC156" s="6">
        <f t="shared" si="33"/>
        <v>675</v>
      </c>
      <c r="AD156" s="6" t="s">
        <v>868</v>
      </c>
      <c r="AE156" s="37"/>
    </row>
    <row r="157" spans="1:31" ht="35.1" customHeight="1" x14ac:dyDescent="0.2">
      <c r="A157" s="26" t="s">
        <v>267</v>
      </c>
      <c r="B157" s="12">
        <v>114</v>
      </c>
      <c r="C157" s="13" t="s">
        <v>611</v>
      </c>
      <c r="D157" s="14" t="s">
        <v>28</v>
      </c>
      <c r="E157" s="11" t="s">
        <v>29</v>
      </c>
      <c r="F157" s="12" t="s">
        <v>225</v>
      </c>
      <c r="G157" s="12"/>
      <c r="H157" s="12"/>
      <c r="I157" s="12"/>
      <c r="J157" s="12" t="s">
        <v>191</v>
      </c>
      <c r="K157" s="12" t="s">
        <v>103</v>
      </c>
      <c r="L157" s="12" t="s">
        <v>94</v>
      </c>
      <c r="M157" s="12" t="s">
        <v>34</v>
      </c>
      <c r="N157" s="12" t="s">
        <v>105</v>
      </c>
      <c r="O157" s="12" t="s">
        <v>46</v>
      </c>
      <c r="P157" s="12" t="s">
        <v>37</v>
      </c>
      <c r="Q157" s="12" t="s">
        <v>37</v>
      </c>
      <c r="R157" s="11" t="s">
        <v>612</v>
      </c>
      <c r="S157" s="11" t="s">
        <v>223</v>
      </c>
      <c r="T157" s="11" t="s">
        <v>276</v>
      </c>
      <c r="U157" s="11" t="s">
        <v>384</v>
      </c>
      <c r="V157" s="12" t="s">
        <v>95</v>
      </c>
      <c r="W157" s="12" t="s">
        <v>46</v>
      </c>
      <c r="X157" s="12" t="s">
        <v>388</v>
      </c>
      <c r="Y157" s="11" t="str">
        <f>HYPERLINK("https://www.stromypodkontrolou.cz/map/tree/d41bce85-5010-4276-b929-4760db78c679/f20df3e4-772c-4a8a-94e8-206e8a9db0f7")</f>
        <v>https://www.stromypodkontrolou.cz/map/tree/d41bce85-5010-4276-b929-4760db78c679/f20df3e4-772c-4a8a-94e8-206e8a9db0f7</v>
      </c>
      <c r="Z157" s="11">
        <v>-761376.24131399998</v>
      </c>
      <c r="AA157" s="11">
        <v>-992046.45606800006</v>
      </c>
      <c r="AB157" s="11" t="str">
        <f>HYPERLINK("https://www.mapy.cz?st=search&amp;fr=50.51811335 14.06392694")</f>
        <v>https://www.mapy.cz?st=search&amp;fr=50.51811335 14.06392694</v>
      </c>
      <c r="AC157" s="6">
        <f t="shared" si="33"/>
        <v>234</v>
      </c>
      <c r="AD157" s="6" t="s">
        <v>865</v>
      </c>
      <c r="AE157" s="37"/>
    </row>
    <row r="158" spans="1:31" ht="35.1" customHeight="1" x14ac:dyDescent="0.2">
      <c r="A158" s="47" t="s">
        <v>267</v>
      </c>
      <c r="B158" s="46">
        <v>115</v>
      </c>
      <c r="C158" s="48" t="s">
        <v>613</v>
      </c>
      <c r="D158" s="49" t="s">
        <v>28</v>
      </c>
      <c r="E158" s="45" t="s">
        <v>29</v>
      </c>
      <c r="F158" s="46" t="s">
        <v>234</v>
      </c>
      <c r="G158" s="46"/>
      <c r="H158" s="46"/>
      <c r="I158" s="46"/>
      <c r="J158" s="46" t="s">
        <v>191</v>
      </c>
      <c r="K158" s="46" t="s">
        <v>103</v>
      </c>
      <c r="L158" s="46" t="s">
        <v>94</v>
      </c>
      <c r="M158" s="46" t="s">
        <v>34</v>
      </c>
      <c r="N158" s="46" t="s">
        <v>35</v>
      </c>
      <c r="O158" s="46" t="s">
        <v>46</v>
      </c>
      <c r="P158" s="46" t="s">
        <v>36</v>
      </c>
      <c r="Q158" s="46" t="s">
        <v>37</v>
      </c>
      <c r="R158" s="45" t="s">
        <v>159</v>
      </c>
      <c r="S158" s="45" t="s">
        <v>223</v>
      </c>
      <c r="T158" s="45" t="s">
        <v>276</v>
      </c>
      <c r="U158" s="11" t="s">
        <v>480</v>
      </c>
      <c r="V158" s="12" t="s">
        <v>95</v>
      </c>
      <c r="W158" s="12" t="s">
        <v>46</v>
      </c>
      <c r="X158" s="12" t="s">
        <v>422</v>
      </c>
      <c r="Y158" s="45" t="str">
        <f>HYPERLINK("https://www.stromypodkontrolou.cz/map/tree/d41bce85-5010-4276-b929-4760db78c679/39735761-7c6a-497a-9583-991134c9b123")</f>
        <v>https://www.stromypodkontrolou.cz/map/tree/d41bce85-5010-4276-b929-4760db78c679/39735761-7c6a-497a-9583-991134c9b123</v>
      </c>
      <c r="Z158" s="45">
        <v>-761368.48262400005</v>
      </c>
      <c r="AA158" s="45">
        <v>-992048.63923600002</v>
      </c>
      <c r="AB158" s="45" t="str">
        <f>HYPERLINK("https://www.mapy.cz?st=search&amp;fr=50.51810375 14.06403959")</f>
        <v>https://www.mapy.cz?st=search&amp;fr=50.51810375 14.06403959</v>
      </c>
      <c r="AC158" s="6">
        <f t="shared" si="33"/>
        <v>234</v>
      </c>
      <c r="AD158" s="6" t="s">
        <v>876</v>
      </c>
      <c r="AE158" s="37"/>
    </row>
    <row r="159" spans="1:31" ht="35.1" customHeight="1" x14ac:dyDescent="0.2">
      <c r="A159" s="47"/>
      <c r="B159" s="46"/>
      <c r="C159" s="48"/>
      <c r="D159" s="49"/>
      <c r="E159" s="45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5"/>
      <c r="S159" s="45"/>
      <c r="T159" s="45"/>
      <c r="U159" s="11" t="s">
        <v>382</v>
      </c>
      <c r="V159" s="12" t="s">
        <v>95</v>
      </c>
      <c r="W159" s="12" t="s">
        <v>46</v>
      </c>
      <c r="X159" s="12"/>
      <c r="Y159" s="45"/>
      <c r="Z159" s="45"/>
      <c r="AA159" s="45"/>
      <c r="AB159" s="45"/>
      <c r="AC159" s="6">
        <f t="shared" si="33"/>
        <v>0</v>
      </c>
      <c r="AD159" s="6" t="s">
        <v>870</v>
      </c>
      <c r="AE159" s="37"/>
    </row>
    <row r="160" spans="1:31" ht="35.1" customHeight="1" x14ac:dyDescent="0.2">
      <c r="A160" s="26" t="s">
        <v>267</v>
      </c>
      <c r="B160" s="12">
        <v>116</v>
      </c>
      <c r="C160" s="13" t="s">
        <v>614</v>
      </c>
      <c r="D160" s="14" t="s">
        <v>28</v>
      </c>
      <c r="E160" s="11" t="s">
        <v>29</v>
      </c>
      <c r="F160" s="12" t="s">
        <v>236</v>
      </c>
      <c r="G160" s="12"/>
      <c r="H160" s="12"/>
      <c r="I160" s="12"/>
      <c r="J160" s="12" t="s">
        <v>191</v>
      </c>
      <c r="K160" s="12" t="s">
        <v>103</v>
      </c>
      <c r="L160" s="12" t="s">
        <v>94</v>
      </c>
      <c r="M160" s="12" t="s">
        <v>34</v>
      </c>
      <c r="N160" s="12" t="s">
        <v>105</v>
      </c>
      <c r="O160" s="12" t="s">
        <v>36</v>
      </c>
      <c r="P160" s="12" t="s">
        <v>37</v>
      </c>
      <c r="Q160" s="12" t="s">
        <v>37</v>
      </c>
      <c r="R160" s="11" t="s">
        <v>159</v>
      </c>
      <c r="S160" s="11" t="s">
        <v>223</v>
      </c>
      <c r="T160" s="11" t="s">
        <v>276</v>
      </c>
      <c r="U160" s="11" t="s">
        <v>384</v>
      </c>
      <c r="V160" s="12" t="s">
        <v>95</v>
      </c>
      <c r="W160" s="12" t="s">
        <v>46</v>
      </c>
      <c r="X160" s="12" t="s">
        <v>388</v>
      </c>
      <c r="Y160" s="11" t="str">
        <f>HYPERLINK("https://www.stromypodkontrolou.cz/map/tree/d41bce85-5010-4276-b929-4760db78c679/52eb8970-479d-4770-817e-becd7ddacda5")</f>
        <v>https://www.stromypodkontrolou.cz/map/tree/d41bce85-5010-4276-b929-4760db78c679/52eb8970-479d-4770-817e-becd7ddacda5</v>
      </c>
      <c r="Z160" s="11">
        <v>-761352.53638199996</v>
      </c>
      <c r="AA160" s="11">
        <v>-992051.00678199995</v>
      </c>
      <c r="AB160" s="11" t="str">
        <f>HYPERLINK("https://www.mapy.cz?st=search&amp;fr=50.51810290 14.06426691")</f>
        <v>https://www.mapy.cz?st=search&amp;fr=50.51810290 14.06426691</v>
      </c>
      <c r="AC160" s="6">
        <f t="shared" si="33"/>
        <v>234</v>
      </c>
      <c r="AD160" s="6" t="s">
        <v>865</v>
      </c>
      <c r="AE160" s="37"/>
    </row>
    <row r="161" spans="1:31" ht="35.1" customHeight="1" x14ac:dyDescent="0.2">
      <c r="A161" s="26" t="s">
        <v>267</v>
      </c>
      <c r="B161" s="12">
        <v>118</v>
      </c>
      <c r="C161" s="13" t="s">
        <v>615</v>
      </c>
      <c r="D161" s="14" t="s">
        <v>28</v>
      </c>
      <c r="E161" s="11" t="s">
        <v>29</v>
      </c>
      <c r="F161" s="12" t="s">
        <v>330</v>
      </c>
      <c r="G161" s="12"/>
      <c r="H161" s="12"/>
      <c r="I161" s="12"/>
      <c r="J161" s="12" t="s">
        <v>31</v>
      </c>
      <c r="K161" s="12" t="s">
        <v>103</v>
      </c>
      <c r="L161" s="12" t="s">
        <v>41</v>
      </c>
      <c r="M161" s="12" t="s">
        <v>95</v>
      </c>
      <c r="N161" s="12" t="s">
        <v>105</v>
      </c>
      <c r="O161" s="12" t="s">
        <v>36</v>
      </c>
      <c r="P161" s="12" t="s">
        <v>34</v>
      </c>
      <c r="Q161" s="12" t="s">
        <v>34</v>
      </c>
      <c r="R161" s="11" t="s">
        <v>159</v>
      </c>
      <c r="S161" s="11" t="s">
        <v>223</v>
      </c>
      <c r="T161" s="11" t="s">
        <v>276</v>
      </c>
      <c r="U161" s="11" t="s">
        <v>384</v>
      </c>
      <c r="V161" s="12" t="s">
        <v>95</v>
      </c>
      <c r="W161" s="12" t="s">
        <v>46</v>
      </c>
      <c r="X161" s="12" t="s">
        <v>388</v>
      </c>
      <c r="Y161" s="11" t="str">
        <f>HYPERLINK("https://www.stromypodkontrolou.cz/map/tree/d41bce85-5010-4276-b929-4760db78c679/78b087a2-3351-466a-916f-6f92104d91c9")</f>
        <v>https://www.stromypodkontrolou.cz/map/tree/d41bce85-5010-4276-b929-4760db78c679/78b087a2-3351-466a-916f-6f92104d91c9</v>
      </c>
      <c r="Z161" s="11">
        <v>-761332.24936100002</v>
      </c>
      <c r="AA161" s="11">
        <v>-992057.63331599999</v>
      </c>
      <c r="AB161" s="11" t="str">
        <f>HYPERLINK("https://www.mapy.cz?st=search&amp;fr=50.51806964 14.06456329")</f>
        <v>https://www.mapy.cz?st=search&amp;fr=50.51806964 14.06456329</v>
      </c>
      <c r="AC161" s="6">
        <f t="shared" ref="AC161:AC162" si="34">(J161-K161)*L161</f>
        <v>352</v>
      </c>
      <c r="AD161" s="6" t="s">
        <v>879</v>
      </c>
      <c r="AE161" s="37"/>
    </row>
    <row r="162" spans="1:31" ht="35.1" customHeight="1" x14ac:dyDescent="0.2">
      <c r="A162" s="26" t="s">
        <v>267</v>
      </c>
      <c r="B162" s="12">
        <v>119</v>
      </c>
      <c r="C162" s="13" t="s">
        <v>616</v>
      </c>
      <c r="D162" s="14" t="s">
        <v>272</v>
      </c>
      <c r="E162" s="11" t="s">
        <v>273</v>
      </c>
      <c r="F162" s="12" t="s">
        <v>594</v>
      </c>
      <c r="G162" s="12"/>
      <c r="H162" s="12"/>
      <c r="I162" s="12"/>
      <c r="J162" s="12" t="s">
        <v>216</v>
      </c>
      <c r="K162" s="12" t="s">
        <v>103</v>
      </c>
      <c r="L162" s="12" t="s">
        <v>71</v>
      </c>
      <c r="M162" s="12" t="s">
        <v>95</v>
      </c>
      <c r="N162" s="12" t="s">
        <v>105</v>
      </c>
      <c r="O162" s="12" t="s">
        <v>36</v>
      </c>
      <c r="P162" s="12" t="s">
        <v>37</v>
      </c>
      <c r="Q162" s="12" t="s">
        <v>37</v>
      </c>
      <c r="R162" s="11"/>
      <c r="S162" s="11" t="s">
        <v>223</v>
      </c>
      <c r="T162" s="11" t="s">
        <v>279</v>
      </c>
      <c r="U162" s="11" t="s">
        <v>480</v>
      </c>
      <c r="V162" s="12" t="s">
        <v>95</v>
      </c>
      <c r="W162" s="12" t="s">
        <v>46</v>
      </c>
      <c r="X162" s="12" t="s">
        <v>422</v>
      </c>
      <c r="Y162" s="11" t="str">
        <f>HYPERLINK("https://www.stromypodkontrolou.cz/map/tree/d41bce85-5010-4276-b929-4760db78c679/c8a714e7-d771-4c36-9c26-fdc70baef0d9")</f>
        <v>https://www.stromypodkontrolou.cz/map/tree/d41bce85-5010-4276-b929-4760db78c679/c8a714e7-d771-4c36-9c26-fdc70baef0d9</v>
      </c>
      <c r="Z162" s="11">
        <v>-761535.94074600004</v>
      </c>
      <c r="AA162" s="11">
        <v>-991956.01577699999</v>
      </c>
      <c r="AB162" s="11" t="str">
        <f>HYPERLINK("https://www.mapy.cz?st=search&amp;fr=50.51871578 14.06151764")</f>
        <v>https://www.mapy.cz?st=search&amp;fr=50.51871578 14.06151764</v>
      </c>
      <c r="AC162" s="6">
        <f t="shared" si="34"/>
        <v>750</v>
      </c>
      <c r="AD162" s="6" t="s">
        <v>872</v>
      </c>
      <c r="AE162" s="37"/>
    </row>
    <row r="163" spans="1:31" ht="34.5" customHeight="1" x14ac:dyDescent="0.2">
      <c r="A163" s="26" t="s">
        <v>281</v>
      </c>
      <c r="B163" s="12">
        <v>10295</v>
      </c>
      <c r="C163" s="13" t="s">
        <v>617</v>
      </c>
      <c r="D163" s="14" t="s">
        <v>28</v>
      </c>
      <c r="E163" s="11" t="s">
        <v>29</v>
      </c>
      <c r="F163" s="12" t="s">
        <v>54</v>
      </c>
      <c r="G163" s="12"/>
      <c r="H163" s="12"/>
      <c r="I163" s="12"/>
      <c r="J163" s="12" t="s">
        <v>75</v>
      </c>
      <c r="K163" s="12" t="s">
        <v>113</v>
      </c>
      <c r="L163" s="12" t="s">
        <v>33</v>
      </c>
      <c r="M163" s="12" t="s">
        <v>34</v>
      </c>
      <c r="N163" s="12" t="s">
        <v>105</v>
      </c>
      <c r="O163" s="12" t="s">
        <v>36</v>
      </c>
      <c r="P163" s="12" t="s">
        <v>36</v>
      </c>
      <c r="Q163" s="12" t="s">
        <v>37</v>
      </c>
      <c r="R163" s="11" t="s">
        <v>159</v>
      </c>
      <c r="S163" s="11" t="s">
        <v>282</v>
      </c>
      <c r="T163" s="11" t="s">
        <v>283</v>
      </c>
      <c r="U163" s="11" t="s">
        <v>382</v>
      </c>
      <c r="V163" s="12" t="s">
        <v>95</v>
      </c>
      <c r="W163" s="12" t="s">
        <v>46</v>
      </c>
      <c r="X163" s="12"/>
      <c r="Y163" s="11" t="str">
        <f>HYPERLINK("https://www.stromypodkontrolou.cz/map/tree/d41bce85-5010-4276-b929-4760db78c679/4302fa9d-a8d6-4156-8f76-1c54b00191b5")</f>
        <v>https://www.stromypodkontrolou.cz/map/tree/d41bce85-5010-4276-b929-4760db78c679/4302fa9d-a8d6-4156-8f76-1c54b00191b5</v>
      </c>
      <c r="Z163" s="11">
        <v>-759111.05294099997</v>
      </c>
      <c r="AA163" s="11">
        <v>-992337.34071500006</v>
      </c>
      <c r="AB163" s="11" t="str">
        <f>HYPERLINK("https://www.mapy.cz?st=search&amp;fr=50.51839218 14.09612753")</f>
        <v>https://www.mapy.cz?st=search&amp;fr=50.51839218 14.09612753</v>
      </c>
      <c r="AC163" s="6">
        <f>(J163-K163)*L163</f>
        <v>88</v>
      </c>
      <c r="AD163" s="6" t="s">
        <v>870</v>
      </c>
      <c r="AE163" s="37"/>
    </row>
    <row r="164" spans="1:31" ht="35.1" customHeight="1" x14ac:dyDescent="0.2">
      <c r="A164" s="26" t="s">
        <v>284</v>
      </c>
      <c r="B164" s="12">
        <v>10320</v>
      </c>
      <c r="C164" s="13" t="s">
        <v>618</v>
      </c>
      <c r="D164" s="14" t="s">
        <v>339</v>
      </c>
      <c r="E164" s="11" t="s">
        <v>340</v>
      </c>
      <c r="F164" s="12" t="s">
        <v>87</v>
      </c>
      <c r="G164" s="12" t="s">
        <v>59</v>
      </c>
      <c r="H164" s="12"/>
      <c r="I164" s="12"/>
      <c r="J164" s="12" t="s">
        <v>60</v>
      </c>
      <c r="K164" s="12" t="s">
        <v>43</v>
      </c>
      <c r="L164" s="12" t="s">
        <v>33</v>
      </c>
      <c r="M164" s="12" t="s">
        <v>37</v>
      </c>
      <c r="N164" s="12" t="s">
        <v>105</v>
      </c>
      <c r="O164" s="12" t="s">
        <v>46</v>
      </c>
      <c r="P164" s="12" t="s">
        <v>46</v>
      </c>
      <c r="Q164" s="12" t="s">
        <v>36</v>
      </c>
      <c r="R164" s="11" t="s">
        <v>155</v>
      </c>
      <c r="S164" s="11" t="s">
        <v>287</v>
      </c>
      <c r="T164" s="11" t="s">
        <v>288</v>
      </c>
      <c r="U164" s="11" t="s">
        <v>378</v>
      </c>
      <c r="V164" s="12" t="s">
        <v>95</v>
      </c>
      <c r="W164" s="12" t="s">
        <v>46</v>
      </c>
      <c r="X164" s="12" t="s">
        <v>386</v>
      </c>
      <c r="Y164" s="11" t="str">
        <f>HYPERLINK("https://www.stromypodkontrolou.cz/map/tree/d41bce85-5010-4276-b929-4760db78c679/1f5f771c-ef7a-4189-861b-50acdd8a823d")</f>
        <v>https://www.stromypodkontrolou.cz/map/tree/d41bce85-5010-4276-b929-4760db78c679/1f5f771c-ef7a-4189-861b-50acdd8a823d</v>
      </c>
      <c r="Z164" s="11">
        <v>-756823.49854499998</v>
      </c>
      <c r="AA164" s="11">
        <v>-991650.86792700004</v>
      </c>
      <c r="AB164" s="11" t="str">
        <f>HYPERLINK("https://www.mapy.cz?st=search&amp;fr=50.52739024 14.12670840")</f>
        <v>https://www.mapy.cz?st=search&amp;fr=50.52739024 14.12670840</v>
      </c>
      <c r="AC164" s="6">
        <f t="shared" ref="AC164:AC165" si="35">(J164-K164)*L164</f>
        <v>80</v>
      </c>
      <c r="AD164" s="6" t="s">
        <v>866</v>
      </c>
      <c r="AE164" s="37"/>
    </row>
    <row r="165" spans="1:31" ht="35.1" customHeight="1" x14ac:dyDescent="0.2">
      <c r="A165" s="26" t="s">
        <v>284</v>
      </c>
      <c r="B165" s="12">
        <v>10327</v>
      </c>
      <c r="C165" s="13" t="s">
        <v>619</v>
      </c>
      <c r="D165" s="14" t="s">
        <v>28</v>
      </c>
      <c r="E165" s="11" t="s">
        <v>29</v>
      </c>
      <c r="F165" s="12" t="s">
        <v>123</v>
      </c>
      <c r="G165" s="12" t="s">
        <v>87</v>
      </c>
      <c r="H165" s="12" t="s">
        <v>41</v>
      </c>
      <c r="I165" s="12" t="s">
        <v>104</v>
      </c>
      <c r="J165" s="12" t="s">
        <v>72</v>
      </c>
      <c r="K165" s="12" t="s">
        <v>103</v>
      </c>
      <c r="L165" s="12" t="s">
        <v>49</v>
      </c>
      <c r="M165" s="12" t="s">
        <v>37</v>
      </c>
      <c r="N165" s="12" t="s">
        <v>105</v>
      </c>
      <c r="O165" s="12" t="s">
        <v>46</v>
      </c>
      <c r="P165" s="12" t="s">
        <v>36</v>
      </c>
      <c r="Q165" s="12" t="s">
        <v>36</v>
      </c>
      <c r="R165" s="11" t="s">
        <v>155</v>
      </c>
      <c r="S165" s="11" t="s">
        <v>287</v>
      </c>
      <c r="T165" s="11" t="s">
        <v>289</v>
      </c>
      <c r="U165" s="11" t="s">
        <v>380</v>
      </c>
      <c r="V165" s="12" t="s">
        <v>95</v>
      </c>
      <c r="W165" s="12" t="s">
        <v>46</v>
      </c>
      <c r="X165" s="12" t="s">
        <v>381</v>
      </c>
      <c r="Y165" s="11" t="str">
        <f>HYPERLINK("https://www.stromypodkontrolou.cz/map/tree/d41bce85-5010-4276-b929-4760db78c679/8ef34799-a76a-403a-b9bc-e4b03a984376")</f>
        <v>https://www.stromypodkontrolou.cz/map/tree/d41bce85-5010-4276-b929-4760db78c679/8ef34799-a76a-403a-b9bc-e4b03a984376</v>
      </c>
      <c r="Z165" s="11">
        <v>-756759.01794100006</v>
      </c>
      <c r="AA165" s="11">
        <v>-991565.13205799996</v>
      </c>
      <c r="AB165" s="11" t="str">
        <f>HYPERLINK("https://www.mapy.cz?st=search&amp;fr=50.52823469 14.12743930")</f>
        <v>https://www.mapy.cz?st=search&amp;fr=50.52823469 14.12743930</v>
      </c>
      <c r="AC165" s="6">
        <f t="shared" si="35"/>
        <v>126</v>
      </c>
      <c r="AD165" s="6" t="s">
        <v>869</v>
      </c>
      <c r="AE165" s="37"/>
    </row>
    <row r="166" spans="1:31" ht="35.1" customHeight="1" x14ac:dyDescent="0.2">
      <c r="A166" s="26" t="s">
        <v>290</v>
      </c>
      <c r="B166" s="12">
        <v>11</v>
      </c>
      <c r="C166" s="13" t="s">
        <v>620</v>
      </c>
      <c r="D166" s="14" t="s">
        <v>28</v>
      </c>
      <c r="E166" s="11" t="s">
        <v>29</v>
      </c>
      <c r="F166" s="12" t="s">
        <v>120</v>
      </c>
      <c r="G166" s="12"/>
      <c r="H166" s="12"/>
      <c r="I166" s="12"/>
      <c r="J166" s="12" t="s">
        <v>191</v>
      </c>
      <c r="K166" s="12" t="s">
        <v>32</v>
      </c>
      <c r="L166" s="12" t="s">
        <v>49</v>
      </c>
      <c r="M166" s="12" t="s">
        <v>34</v>
      </c>
      <c r="N166" s="12" t="s">
        <v>105</v>
      </c>
      <c r="O166" s="12" t="s">
        <v>36</v>
      </c>
      <c r="P166" s="12" t="s">
        <v>36</v>
      </c>
      <c r="Q166" s="12" t="s">
        <v>36</v>
      </c>
      <c r="R166" s="11"/>
      <c r="S166" s="11" t="s">
        <v>291</v>
      </c>
      <c r="T166" s="11" t="s">
        <v>292</v>
      </c>
      <c r="U166" s="11" t="s">
        <v>382</v>
      </c>
      <c r="V166" s="12" t="s">
        <v>95</v>
      </c>
      <c r="W166" s="12" t="s">
        <v>46</v>
      </c>
      <c r="X166" s="12"/>
      <c r="Y166" s="11" t="str">
        <f>HYPERLINK("https://www.stromypodkontrolou.cz/map/tree/d41bce85-5010-4276-b929-4760db78c679/205dae56-dbff-476c-a9f4-1e952f2a1498")</f>
        <v>https://www.stromypodkontrolou.cz/map/tree/d41bce85-5010-4276-b929-4760db78c679/205dae56-dbff-476c-a9f4-1e952f2a1498</v>
      </c>
      <c r="Z166" s="11">
        <v>-756667.25246700004</v>
      </c>
      <c r="AA166" s="11">
        <v>-991382.987846</v>
      </c>
      <c r="AB166" s="11" t="str">
        <f>HYPERLINK("https://www.mapy.cz?st=search&amp;fr=50.52997169 14.12836064")</f>
        <v>https://www.mapy.cz?st=search&amp;fr=50.52997169 14.12836064</v>
      </c>
      <c r="AC166" s="6">
        <f>(J166-K166)*L166</f>
        <v>153</v>
      </c>
      <c r="AD166" s="6" t="s">
        <v>870</v>
      </c>
      <c r="AE166" s="37"/>
    </row>
    <row r="167" spans="1:31" ht="35.1" customHeight="1" x14ac:dyDescent="0.2">
      <c r="A167" s="26" t="s">
        <v>290</v>
      </c>
      <c r="B167" s="12">
        <v>17</v>
      </c>
      <c r="C167" s="13" t="s">
        <v>621</v>
      </c>
      <c r="D167" s="14" t="s">
        <v>28</v>
      </c>
      <c r="E167" s="11" t="s">
        <v>29</v>
      </c>
      <c r="F167" s="12" t="s">
        <v>116</v>
      </c>
      <c r="G167" s="12"/>
      <c r="H167" s="12"/>
      <c r="I167" s="12"/>
      <c r="J167" s="12" t="s">
        <v>84</v>
      </c>
      <c r="K167" s="12" t="s">
        <v>32</v>
      </c>
      <c r="L167" s="12" t="s">
        <v>49</v>
      </c>
      <c r="M167" s="12" t="s">
        <v>34</v>
      </c>
      <c r="N167" s="12" t="s">
        <v>45</v>
      </c>
      <c r="O167" s="12" t="s">
        <v>36</v>
      </c>
      <c r="P167" s="12" t="s">
        <v>37</v>
      </c>
      <c r="Q167" s="12" t="s">
        <v>37</v>
      </c>
      <c r="R167" s="11" t="s">
        <v>214</v>
      </c>
      <c r="S167" s="11" t="s">
        <v>291</v>
      </c>
      <c r="T167" s="11" t="s">
        <v>292</v>
      </c>
      <c r="U167" s="11" t="s">
        <v>384</v>
      </c>
      <c r="V167" s="12" t="s">
        <v>95</v>
      </c>
      <c r="W167" s="12" t="s">
        <v>46</v>
      </c>
      <c r="X167" s="12" t="s">
        <v>388</v>
      </c>
      <c r="Y167" s="11" t="str">
        <f>HYPERLINK("https://www.stromypodkontrolou.cz/map/tree/d41bce85-5010-4276-b929-4760db78c679/b8cc4740-5600-4f37-9b7f-5260f22439d2")</f>
        <v>https://www.stromypodkontrolou.cz/map/tree/d41bce85-5010-4276-b929-4760db78c679/b8cc4740-5600-4f37-9b7f-5260f22439d2</v>
      </c>
      <c r="Z167" s="11">
        <v>-756684.71495399997</v>
      </c>
      <c r="AA167" s="11">
        <v>-991377.28310899995</v>
      </c>
      <c r="AB167" s="11" t="str">
        <f>HYPERLINK("https://www.mapy.cz?st=search&amp;fr=50.53000046 14.12810549")</f>
        <v>https://www.mapy.cz?st=search&amp;fr=50.53000046 14.12810549</v>
      </c>
      <c r="AC167" s="6">
        <f t="shared" ref="AC167" si="36">(J167-K167)*L167</f>
        <v>135</v>
      </c>
      <c r="AD167" s="6" t="s">
        <v>865</v>
      </c>
      <c r="AE167" s="37"/>
    </row>
    <row r="168" spans="1:31" ht="35.1" customHeight="1" x14ac:dyDescent="0.2">
      <c r="A168" s="26" t="s">
        <v>290</v>
      </c>
      <c r="B168" s="12">
        <v>20</v>
      </c>
      <c r="C168" s="13" t="s">
        <v>622</v>
      </c>
      <c r="D168" s="14" t="s">
        <v>28</v>
      </c>
      <c r="E168" s="11" t="s">
        <v>29</v>
      </c>
      <c r="F168" s="12" t="s">
        <v>92</v>
      </c>
      <c r="G168" s="12" t="s">
        <v>207</v>
      </c>
      <c r="H168" s="12"/>
      <c r="I168" s="12"/>
      <c r="J168" s="12" t="s">
        <v>84</v>
      </c>
      <c r="K168" s="12" t="s">
        <v>32</v>
      </c>
      <c r="L168" s="12" t="s">
        <v>47</v>
      </c>
      <c r="M168" s="12" t="s">
        <v>34</v>
      </c>
      <c r="N168" s="12" t="s">
        <v>45</v>
      </c>
      <c r="O168" s="12" t="s">
        <v>46</v>
      </c>
      <c r="P168" s="12" t="s">
        <v>37</v>
      </c>
      <c r="Q168" s="12" t="s">
        <v>37</v>
      </c>
      <c r="R168" s="11" t="s">
        <v>623</v>
      </c>
      <c r="S168" s="11" t="s">
        <v>291</v>
      </c>
      <c r="T168" s="11" t="s">
        <v>292</v>
      </c>
      <c r="U168" s="11" t="s">
        <v>380</v>
      </c>
      <c r="V168" s="12" t="s">
        <v>95</v>
      </c>
      <c r="W168" s="12" t="s">
        <v>46</v>
      </c>
      <c r="X168" s="12" t="s">
        <v>569</v>
      </c>
      <c r="Y168" s="11" t="str">
        <f>HYPERLINK("https://www.stromypodkontrolou.cz/map/tree/d41bce85-5010-4276-b929-4760db78c679/6326db4f-34f1-4efc-9f39-4714f667ee0b")</f>
        <v>https://www.stromypodkontrolou.cz/map/tree/d41bce85-5010-4276-b929-4760db78c679/6326db4f-34f1-4efc-9f39-4714f667ee0b</v>
      </c>
      <c r="Z168" s="11">
        <v>-756713.97456500004</v>
      </c>
      <c r="AA168" s="11">
        <v>-991366.38697400002</v>
      </c>
      <c r="AB168" s="11" t="str">
        <f>HYPERLINK("https://www.mapy.cz?st=search&amp;fr=50.53006057 14.12767533")</f>
        <v>https://www.mapy.cz?st=search&amp;fr=50.53006057 14.12767533</v>
      </c>
      <c r="AC168" s="6">
        <f>(J168-K168)*L168</f>
        <v>180</v>
      </c>
      <c r="AD168" s="6" t="s">
        <v>869</v>
      </c>
      <c r="AE168" s="37"/>
    </row>
    <row r="169" spans="1:31" ht="35.1" customHeight="1" x14ac:dyDescent="0.2">
      <c r="A169" s="26" t="s">
        <v>293</v>
      </c>
      <c r="B169" s="12">
        <v>10406</v>
      </c>
      <c r="C169" s="13" t="s">
        <v>624</v>
      </c>
      <c r="D169" s="14" t="s">
        <v>62</v>
      </c>
      <c r="E169" s="11" t="s">
        <v>63</v>
      </c>
      <c r="F169" s="12" t="s">
        <v>230</v>
      </c>
      <c r="G169" s="12"/>
      <c r="H169" s="12"/>
      <c r="I169" s="12"/>
      <c r="J169" s="12" t="s">
        <v>75</v>
      </c>
      <c r="K169" s="12" t="s">
        <v>61</v>
      </c>
      <c r="L169" s="12" t="s">
        <v>48</v>
      </c>
      <c r="M169" s="12" t="s">
        <v>34</v>
      </c>
      <c r="N169" s="12" t="s">
        <v>105</v>
      </c>
      <c r="O169" s="12" t="s">
        <v>36</v>
      </c>
      <c r="P169" s="12" t="s">
        <v>37</v>
      </c>
      <c r="Q169" s="12" t="s">
        <v>34</v>
      </c>
      <c r="R169" s="11" t="s">
        <v>625</v>
      </c>
      <c r="S169" s="11" t="s">
        <v>291</v>
      </c>
      <c r="T169" s="11" t="s">
        <v>294</v>
      </c>
      <c r="U169" s="11" t="s">
        <v>382</v>
      </c>
      <c r="V169" s="12" t="s">
        <v>95</v>
      </c>
      <c r="W169" s="12" t="s">
        <v>46</v>
      </c>
      <c r="X169" s="12"/>
      <c r="Y169" s="11" t="str">
        <f>HYPERLINK("https://www.stromypodkontrolou.cz/map/tree/d41bce85-5010-4276-b929-4760db78c679/b8b543e8-dd94-4c46-b570-cf8c1fdbf31a")</f>
        <v>https://www.stromypodkontrolou.cz/map/tree/d41bce85-5010-4276-b929-4760db78c679/b8b543e8-dd94-4c46-b570-cf8c1fdbf31a</v>
      </c>
      <c r="Z169" s="11">
        <v>-756190.86965000001</v>
      </c>
      <c r="AA169" s="11">
        <v>-991671.311858</v>
      </c>
      <c r="AB169" s="11" t="str">
        <f>HYPERLINK("https://www.mapy.cz?st=search&amp;fr=50.52800535 14.13558316")</f>
        <v>https://www.mapy.cz?st=search&amp;fr=50.52800535 14.13558316</v>
      </c>
      <c r="AC169" s="6">
        <f t="shared" ref="AC169:AC170" si="37">(J169-K169)*L169</f>
        <v>140</v>
      </c>
      <c r="AD169" s="6" t="s">
        <v>870</v>
      </c>
      <c r="AE169" s="37"/>
    </row>
    <row r="170" spans="1:31" ht="35.1" customHeight="1" x14ac:dyDescent="0.2">
      <c r="A170" s="26" t="s">
        <v>293</v>
      </c>
      <c r="B170" s="12">
        <v>10407</v>
      </c>
      <c r="C170" s="13" t="s">
        <v>626</v>
      </c>
      <c r="D170" s="14" t="s">
        <v>62</v>
      </c>
      <c r="E170" s="11" t="s">
        <v>63</v>
      </c>
      <c r="F170" s="12" t="s">
        <v>219</v>
      </c>
      <c r="G170" s="12" t="s">
        <v>81</v>
      </c>
      <c r="H170" s="12"/>
      <c r="I170" s="12"/>
      <c r="J170" s="12" t="s">
        <v>112</v>
      </c>
      <c r="K170" s="12" t="s">
        <v>103</v>
      </c>
      <c r="L170" s="12" t="s">
        <v>48</v>
      </c>
      <c r="M170" s="12" t="s">
        <v>34</v>
      </c>
      <c r="N170" s="12" t="s">
        <v>105</v>
      </c>
      <c r="O170" s="12" t="s">
        <v>36</v>
      </c>
      <c r="P170" s="12" t="s">
        <v>37</v>
      </c>
      <c r="Q170" s="12" t="s">
        <v>37</v>
      </c>
      <c r="R170" s="11" t="s">
        <v>243</v>
      </c>
      <c r="S170" s="11" t="s">
        <v>291</v>
      </c>
      <c r="T170" s="11" t="s">
        <v>294</v>
      </c>
      <c r="U170" s="11" t="s">
        <v>384</v>
      </c>
      <c r="V170" s="12"/>
      <c r="W170" s="12" t="s">
        <v>46</v>
      </c>
      <c r="X170" s="12" t="s">
        <v>388</v>
      </c>
      <c r="Y170" s="11" t="str">
        <f>HYPERLINK("https://www.stromypodkontrolou.cz/map/tree/d41bce85-5010-4276-b929-4760db78c679/d67fba26-ac5d-457d-a970-78c77b73140d")</f>
        <v>https://www.stromypodkontrolou.cz/map/tree/d41bce85-5010-4276-b929-4760db78c679/d67fba26-ac5d-457d-a970-78c77b73140d</v>
      </c>
      <c r="Z170" s="11">
        <v>-756198.92792699998</v>
      </c>
      <c r="AA170" s="11">
        <v>-991641.89439399994</v>
      </c>
      <c r="AB170" s="11" t="str">
        <f>HYPERLINK("https://www.mapy.cz?st=search&amp;fr=50.52825707 14.13541250")</f>
        <v>https://www.mapy.cz?st=search&amp;fr=50.52825707 14.13541250</v>
      </c>
      <c r="AC170" s="6">
        <f t="shared" si="37"/>
        <v>100</v>
      </c>
      <c r="AD170" s="6" t="s">
        <v>865</v>
      </c>
      <c r="AE170" s="37"/>
    </row>
    <row r="171" spans="1:31" ht="34.5" customHeight="1" x14ac:dyDescent="0.2">
      <c r="A171" s="26" t="s">
        <v>293</v>
      </c>
      <c r="B171" s="12">
        <v>10431</v>
      </c>
      <c r="C171" s="13" t="s">
        <v>627</v>
      </c>
      <c r="D171" s="14" t="s">
        <v>62</v>
      </c>
      <c r="E171" s="11" t="s">
        <v>63</v>
      </c>
      <c r="F171" s="12" t="s">
        <v>198</v>
      </c>
      <c r="G171" s="12"/>
      <c r="H171" s="12"/>
      <c r="I171" s="12"/>
      <c r="J171" s="12" t="s">
        <v>168</v>
      </c>
      <c r="K171" s="12" t="s">
        <v>61</v>
      </c>
      <c r="L171" s="12" t="s">
        <v>118</v>
      </c>
      <c r="M171" s="12" t="s">
        <v>34</v>
      </c>
      <c r="N171" s="12" t="s">
        <v>105</v>
      </c>
      <c r="O171" s="12" t="s">
        <v>46</v>
      </c>
      <c r="P171" s="12" t="s">
        <v>36</v>
      </c>
      <c r="Q171" s="12" t="s">
        <v>36</v>
      </c>
      <c r="R171" s="11"/>
      <c r="S171" s="11" t="s">
        <v>291</v>
      </c>
      <c r="T171" s="11" t="s">
        <v>294</v>
      </c>
      <c r="U171" s="11" t="s">
        <v>382</v>
      </c>
      <c r="V171" s="12" t="s">
        <v>95</v>
      </c>
      <c r="W171" s="12" t="s">
        <v>46</v>
      </c>
      <c r="X171" s="12"/>
      <c r="Y171" s="11" t="str">
        <f>HYPERLINK("https://www.stromypodkontrolou.cz/map/tree/d41bce85-5010-4276-b929-4760db78c679/54904659-893d-45ea-8b66-1cce45973d6a")</f>
        <v>https://www.stromypodkontrolou.cz/map/tree/d41bce85-5010-4276-b929-4760db78c679/54904659-893d-45ea-8b66-1cce45973d6a</v>
      </c>
      <c r="Z171" s="11">
        <v>-756174.30651799997</v>
      </c>
      <c r="AA171" s="11">
        <v>-991620.76413200004</v>
      </c>
      <c r="AB171" s="11" t="str">
        <f>HYPERLINK("https://www.mapy.cz?st=search&amp;fr=50.52847617 14.13571458")</f>
        <v>https://www.mapy.cz?st=search&amp;fr=50.52847617 14.13571458</v>
      </c>
      <c r="AC171" s="6">
        <f>(J171-K171)*L171</f>
        <v>330</v>
      </c>
      <c r="AD171" s="6" t="s">
        <v>875</v>
      </c>
      <c r="AE171" s="37"/>
    </row>
    <row r="172" spans="1:31" ht="35.1" customHeight="1" x14ac:dyDescent="0.2">
      <c r="A172" s="26" t="s">
        <v>293</v>
      </c>
      <c r="B172" s="12">
        <v>10439</v>
      </c>
      <c r="C172" s="13" t="s">
        <v>629</v>
      </c>
      <c r="D172" s="14" t="s">
        <v>28</v>
      </c>
      <c r="E172" s="11" t="s">
        <v>29</v>
      </c>
      <c r="F172" s="12" t="s">
        <v>326</v>
      </c>
      <c r="G172" s="12"/>
      <c r="H172" s="12"/>
      <c r="I172" s="12"/>
      <c r="J172" s="12" t="s">
        <v>72</v>
      </c>
      <c r="K172" s="12" t="s">
        <v>32</v>
      </c>
      <c r="L172" s="12" t="s">
        <v>47</v>
      </c>
      <c r="M172" s="12" t="s">
        <v>34</v>
      </c>
      <c r="N172" s="12" t="s">
        <v>45</v>
      </c>
      <c r="O172" s="12" t="s">
        <v>36</v>
      </c>
      <c r="P172" s="12" t="s">
        <v>37</v>
      </c>
      <c r="Q172" s="12" t="s">
        <v>95</v>
      </c>
      <c r="R172" s="11" t="s">
        <v>150</v>
      </c>
      <c r="S172" s="11" t="s">
        <v>291</v>
      </c>
      <c r="T172" s="11" t="s">
        <v>294</v>
      </c>
      <c r="U172" s="11" t="s">
        <v>380</v>
      </c>
      <c r="V172" s="12" t="s">
        <v>95</v>
      </c>
      <c r="W172" s="12" t="s">
        <v>46</v>
      </c>
      <c r="X172" s="12" t="s">
        <v>407</v>
      </c>
      <c r="Y172" s="11" t="str">
        <f>HYPERLINK("https://www.stromypodkontrolou.cz/map/tree/d41bce85-5010-4276-b929-4760db78c679/d31b3db8-802b-4783-b245-3eb46e62fde7")</f>
        <v>https://www.stromypodkontrolou.cz/map/tree/d41bce85-5010-4276-b929-4760db78c679/d31b3db8-802b-4783-b245-3eb46e62fde7</v>
      </c>
      <c r="Z172" s="11">
        <v>-755999.56998699997</v>
      </c>
      <c r="AA172" s="11">
        <v>-991642.299076</v>
      </c>
      <c r="AB172" s="11" t="str">
        <f>HYPERLINK("https://www.mapy.cz?st=search&amp;fr=50.52850452 14.13819730")</f>
        <v>https://www.mapy.cz?st=search&amp;fr=50.52850452 14.13819730</v>
      </c>
      <c r="AC172" s="6">
        <f t="shared" ref="AC172:AC179" si="38">(J172-K172)*L172</f>
        <v>156</v>
      </c>
      <c r="AD172" s="6" t="s">
        <v>869</v>
      </c>
      <c r="AE172" s="37"/>
    </row>
    <row r="173" spans="1:31" ht="35.1" customHeight="1" x14ac:dyDescent="0.2">
      <c r="A173" s="26" t="s">
        <v>293</v>
      </c>
      <c r="B173" s="12">
        <v>10440</v>
      </c>
      <c r="C173" s="13" t="s">
        <v>630</v>
      </c>
      <c r="D173" s="14" t="s">
        <v>62</v>
      </c>
      <c r="E173" s="11" t="s">
        <v>63</v>
      </c>
      <c r="F173" s="12" t="s">
        <v>115</v>
      </c>
      <c r="G173" s="12"/>
      <c r="H173" s="12"/>
      <c r="I173" s="12"/>
      <c r="J173" s="12" t="s">
        <v>75</v>
      </c>
      <c r="K173" s="12" t="s">
        <v>32</v>
      </c>
      <c r="L173" s="12" t="s">
        <v>136</v>
      </c>
      <c r="M173" s="12" t="s">
        <v>34</v>
      </c>
      <c r="N173" s="12" t="s">
        <v>105</v>
      </c>
      <c r="O173" s="12" t="s">
        <v>37</v>
      </c>
      <c r="P173" s="12" t="s">
        <v>37</v>
      </c>
      <c r="Q173" s="12" t="s">
        <v>37</v>
      </c>
      <c r="R173" s="11" t="s">
        <v>631</v>
      </c>
      <c r="S173" s="11" t="s">
        <v>291</v>
      </c>
      <c r="T173" s="11" t="s">
        <v>294</v>
      </c>
      <c r="U173" s="11" t="s">
        <v>382</v>
      </c>
      <c r="V173" s="12" t="s">
        <v>95</v>
      </c>
      <c r="W173" s="12" t="s">
        <v>46</v>
      </c>
      <c r="X173" s="12"/>
      <c r="Y173" s="11" t="str">
        <f>HYPERLINK("https://www.stromypodkontrolou.cz/map/tree/d41bce85-5010-4276-b929-4760db78c679/079641bc-aec6-4e2c-8496-51c0abdbae90")</f>
        <v>https://www.stromypodkontrolou.cz/map/tree/d41bce85-5010-4276-b929-4760db78c679/079641bc-aec6-4e2c-8496-51c0abdbae90</v>
      </c>
      <c r="Z173" s="11">
        <v>-756030.39780100004</v>
      </c>
      <c r="AA173" s="11">
        <v>-991658.76907000004</v>
      </c>
      <c r="AB173" s="11" t="str">
        <f>HYPERLINK("https://www.mapy.cz?st=search&amp;fr=50.52831909 14.13779933")</f>
        <v>https://www.mapy.cz?st=search&amp;fr=50.52831909 14.13779933</v>
      </c>
      <c r="AC173" s="6">
        <f t="shared" si="38"/>
        <v>168</v>
      </c>
      <c r="AD173" s="6" t="s">
        <v>870</v>
      </c>
      <c r="AE173" s="37"/>
    </row>
    <row r="174" spans="1:31" ht="35.1" customHeight="1" x14ac:dyDescent="0.2">
      <c r="A174" s="47" t="s">
        <v>293</v>
      </c>
      <c r="B174" s="46">
        <v>10441</v>
      </c>
      <c r="C174" s="48" t="s">
        <v>632</v>
      </c>
      <c r="D174" s="49" t="s">
        <v>62</v>
      </c>
      <c r="E174" s="45" t="s">
        <v>63</v>
      </c>
      <c r="F174" s="46" t="s">
        <v>163</v>
      </c>
      <c r="G174" s="46" t="s">
        <v>30</v>
      </c>
      <c r="H174" s="46"/>
      <c r="I174" s="46"/>
      <c r="J174" s="46" t="s">
        <v>221</v>
      </c>
      <c r="K174" s="46" t="s">
        <v>32</v>
      </c>
      <c r="L174" s="46" t="s">
        <v>136</v>
      </c>
      <c r="M174" s="46" t="s">
        <v>34</v>
      </c>
      <c r="N174" s="46" t="s">
        <v>105</v>
      </c>
      <c r="O174" s="46" t="s">
        <v>36</v>
      </c>
      <c r="P174" s="46" t="s">
        <v>36</v>
      </c>
      <c r="Q174" s="46" t="s">
        <v>36</v>
      </c>
      <c r="R174" s="45" t="s">
        <v>429</v>
      </c>
      <c r="S174" s="45" t="s">
        <v>291</v>
      </c>
      <c r="T174" s="45" t="s">
        <v>294</v>
      </c>
      <c r="U174" s="11" t="s">
        <v>382</v>
      </c>
      <c r="V174" s="12" t="s">
        <v>95</v>
      </c>
      <c r="W174" s="12" t="s">
        <v>46</v>
      </c>
      <c r="X174" s="12"/>
      <c r="Y174" s="45" t="str">
        <f>HYPERLINK("https://www.stromypodkontrolou.cz/map/tree/d41bce85-5010-4276-b929-4760db78c679/104eed9c-e384-4d99-b297-0db5bd17c286")</f>
        <v>https://www.stromypodkontrolou.cz/map/tree/d41bce85-5010-4276-b929-4760db78c679/104eed9c-e384-4d99-b297-0db5bd17c286</v>
      </c>
      <c r="Z174" s="45">
        <v>-756003.40350599994</v>
      </c>
      <c r="AA174" s="45">
        <v>-991654.97350900003</v>
      </c>
      <c r="AB174" s="45" t="str">
        <f>HYPERLINK("https://www.mapy.cz?st=search&amp;fr=50.52838687 14.13816881")</f>
        <v>https://www.mapy.cz?st=search&amp;fr=50.52838687 14.13816881</v>
      </c>
      <c r="AC174" s="6">
        <f t="shared" si="38"/>
        <v>364</v>
      </c>
      <c r="AD174" s="6" t="s">
        <v>875</v>
      </c>
      <c r="AE174" s="37"/>
    </row>
    <row r="175" spans="1:31" ht="35.1" customHeight="1" x14ac:dyDescent="0.2">
      <c r="A175" s="47"/>
      <c r="B175" s="46"/>
      <c r="C175" s="48"/>
      <c r="D175" s="49"/>
      <c r="E175" s="45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5"/>
      <c r="S175" s="45"/>
      <c r="T175" s="45"/>
      <c r="U175" s="11" t="s">
        <v>380</v>
      </c>
      <c r="V175" s="12" t="s">
        <v>95</v>
      </c>
      <c r="W175" s="12" t="s">
        <v>46</v>
      </c>
      <c r="X175" s="12" t="s">
        <v>439</v>
      </c>
      <c r="Y175" s="45"/>
      <c r="Z175" s="45"/>
      <c r="AA175" s="45"/>
      <c r="AB175" s="45"/>
      <c r="AC175" s="6">
        <f t="shared" si="38"/>
        <v>0</v>
      </c>
      <c r="AD175" s="6" t="s">
        <v>871</v>
      </c>
      <c r="AE175" s="37"/>
    </row>
    <row r="176" spans="1:31" ht="35.1" customHeight="1" x14ac:dyDescent="0.2">
      <c r="A176" s="47" t="s">
        <v>293</v>
      </c>
      <c r="B176" s="46">
        <v>10442</v>
      </c>
      <c r="C176" s="48" t="s">
        <v>633</v>
      </c>
      <c r="D176" s="49" t="s">
        <v>28</v>
      </c>
      <c r="E176" s="45" t="s">
        <v>29</v>
      </c>
      <c r="F176" s="46" t="s">
        <v>213</v>
      </c>
      <c r="G176" s="46"/>
      <c r="H176" s="46"/>
      <c r="I176" s="46"/>
      <c r="J176" s="46" t="s">
        <v>221</v>
      </c>
      <c r="K176" s="46" t="s">
        <v>113</v>
      </c>
      <c r="L176" s="46" t="s">
        <v>94</v>
      </c>
      <c r="M176" s="46" t="s">
        <v>34</v>
      </c>
      <c r="N176" s="46" t="s">
        <v>105</v>
      </c>
      <c r="O176" s="46" t="s">
        <v>36</v>
      </c>
      <c r="P176" s="46" t="s">
        <v>36</v>
      </c>
      <c r="Q176" s="46" t="s">
        <v>37</v>
      </c>
      <c r="R176" s="45" t="s">
        <v>634</v>
      </c>
      <c r="S176" s="45" t="s">
        <v>291</v>
      </c>
      <c r="T176" s="45" t="s">
        <v>294</v>
      </c>
      <c r="U176" s="11" t="s">
        <v>382</v>
      </c>
      <c r="V176" s="12" t="s">
        <v>95</v>
      </c>
      <c r="W176" s="12" t="s">
        <v>46</v>
      </c>
      <c r="X176" s="12"/>
      <c r="Y176" s="45" t="str">
        <f>HYPERLINK("https://www.stromypodkontrolou.cz/map/tree/d41bce85-5010-4276-b929-4760db78c679/44fb7482-2d11-4a27-ba1b-2d10ff763d36")</f>
        <v>https://www.stromypodkontrolou.cz/map/tree/d41bce85-5010-4276-b929-4760db78c679/44fb7482-2d11-4a27-ba1b-2d10ff763d36</v>
      </c>
      <c r="Z176" s="45">
        <v>-756001.55761500006</v>
      </c>
      <c r="AA176" s="45">
        <v>-991655.16278000001</v>
      </c>
      <c r="AB176" s="45" t="str">
        <f>HYPERLINK("https://www.mapy.cz?st=search&amp;fr=50.52838750 14.13819496")</f>
        <v>https://www.mapy.cz?st=search&amp;fr=50.52838750 14.13819496</v>
      </c>
      <c r="AC176" s="6">
        <f t="shared" si="38"/>
        <v>325</v>
      </c>
      <c r="AD176" s="6" t="s">
        <v>875</v>
      </c>
      <c r="AE176" s="37"/>
    </row>
    <row r="177" spans="1:31" ht="35.1" customHeight="1" x14ac:dyDescent="0.2">
      <c r="A177" s="47"/>
      <c r="B177" s="46"/>
      <c r="C177" s="48"/>
      <c r="D177" s="49"/>
      <c r="E177" s="45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5"/>
      <c r="S177" s="45"/>
      <c r="T177" s="45"/>
      <c r="U177" s="11" t="s">
        <v>380</v>
      </c>
      <c r="V177" s="12" t="s">
        <v>95</v>
      </c>
      <c r="W177" s="12" t="s">
        <v>46</v>
      </c>
      <c r="X177" s="12" t="s">
        <v>439</v>
      </c>
      <c r="Y177" s="45"/>
      <c r="Z177" s="45"/>
      <c r="AA177" s="45"/>
      <c r="AB177" s="45"/>
      <c r="AC177" s="6">
        <f t="shared" si="38"/>
        <v>0</v>
      </c>
      <c r="AD177" s="6" t="s">
        <v>871</v>
      </c>
      <c r="AE177" s="37"/>
    </row>
    <row r="178" spans="1:31" ht="35.1" customHeight="1" x14ac:dyDescent="0.2">
      <c r="A178" s="47" t="s">
        <v>293</v>
      </c>
      <c r="B178" s="46">
        <v>10443</v>
      </c>
      <c r="C178" s="48" t="s">
        <v>635</v>
      </c>
      <c r="D178" s="49" t="s">
        <v>28</v>
      </c>
      <c r="E178" s="45" t="s">
        <v>29</v>
      </c>
      <c r="F178" s="46" t="s">
        <v>239</v>
      </c>
      <c r="G178" s="46"/>
      <c r="H178" s="46"/>
      <c r="I178" s="46"/>
      <c r="J178" s="46" t="s">
        <v>221</v>
      </c>
      <c r="K178" s="46" t="s">
        <v>76</v>
      </c>
      <c r="L178" s="46" t="s">
        <v>104</v>
      </c>
      <c r="M178" s="46" t="s">
        <v>34</v>
      </c>
      <c r="N178" s="46" t="s">
        <v>105</v>
      </c>
      <c r="O178" s="46" t="s">
        <v>36</v>
      </c>
      <c r="P178" s="46" t="s">
        <v>36</v>
      </c>
      <c r="Q178" s="46" t="s">
        <v>37</v>
      </c>
      <c r="R178" s="45" t="s">
        <v>517</v>
      </c>
      <c r="S178" s="45" t="s">
        <v>291</v>
      </c>
      <c r="T178" s="45" t="s">
        <v>294</v>
      </c>
      <c r="U178" s="11" t="s">
        <v>384</v>
      </c>
      <c r="V178" s="12" t="s">
        <v>95</v>
      </c>
      <c r="W178" s="12" t="s">
        <v>46</v>
      </c>
      <c r="X178" s="12" t="s">
        <v>388</v>
      </c>
      <c r="Y178" s="45" t="str">
        <f>HYPERLINK("https://www.stromypodkontrolou.cz/map/tree/d41bce85-5010-4276-b929-4760db78c679/e7beceb7-0c23-4c4a-931d-f2d6c7cc03b6")</f>
        <v>https://www.stromypodkontrolou.cz/map/tree/d41bce85-5010-4276-b929-4760db78c679/e7beceb7-0c23-4c4a-931d-f2d6c7cc03b6</v>
      </c>
      <c r="Z178" s="45">
        <v>-755994.30162799999</v>
      </c>
      <c r="AA178" s="45">
        <v>-991654.10606699996</v>
      </c>
      <c r="AB178" s="45" t="str">
        <f>HYPERLINK("https://www.mapy.cz?st=search&amp;fr=50.52840605 14.13829420")</f>
        <v>https://www.mapy.cz?st=search&amp;fr=50.52840605 14.13829420</v>
      </c>
      <c r="AC178" s="6">
        <f t="shared" si="38"/>
        <v>264</v>
      </c>
      <c r="AD178" s="6" t="s">
        <v>879</v>
      </c>
      <c r="AE178" s="37"/>
    </row>
    <row r="179" spans="1:31" ht="34.5" customHeight="1" x14ac:dyDescent="0.2">
      <c r="A179" s="47"/>
      <c r="B179" s="46"/>
      <c r="C179" s="48"/>
      <c r="D179" s="49"/>
      <c r="E179" s="45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5"/>
      <c r="S179" s="45"/>
      <c r="T179" s="45"/>
      <c r="U179" s="11" t="s">
        <v>382</v>
      </c>
      <c r="V179" s="12" t="s">
        <v>95</v>
      </c>
      <c r="W179" s="12" t="s">
        <v>46</v>
      </c>
      <c r="X179" s="12"/>
      <c r="Y179" s="45"/>
      <c r="Z179" s="45"/>
      <c r="AA179" s="45"/>
      <c r="AB179" s="45"/>
      <c r="AC179" s="6">
        <f t="shared" si="38"/>
        <v>0</v>
      </c>
      <c r="AD179" s="6" t="s">
        <v>875</v>
      </c>
      <c r="AE179" s="37"/>
    </row>
    <row r="180" spans="1:31" ht="35.1" customHeight="1" x14ac:dyDescent="0.2">
      <c r="A180" s="26" t="s">
        <v>293</v>
      </c>
      <c r="B180" s="12">
        <v>10486</v>
      </c>
      <c r="C180" s="13" t="s">
        <v>636</v>
      </c>
      <c r="D180" s="14" t="s">
        <v>28</v>
      </c>
      <c r="E180" s="11" t="s">
        <v>29</v>
      </c>
      <c r="F180" s="12" t="s">
        <v>637</v>
      </c>
      <c r="G180" s="12"/>
      <c r="H180" s="12"/>
      <c r="I180" s="12"/>
      <c r="J180" s="12" t="s">
        <v>226</v>
      </c>
      <c r="K180" s="12" t="s">
        <v>144</v>
      </c>
      <c r="L180" s="12" t="s">
        <v>136</v>
      </c>
      <c r="M180" s="12" t="s">
        <v>95</v>
      </c>
      <c r="N180" s="12" t="s">
        <v>105</v>
      </c>
      <c r="O180" s="12" t="s">
        <v>36</v>
      </c>
      <c r="P180" s="12" t="s">
        <v>37</v>
      </c>
      <c r="Q180" s="12" t="s">
        <v>37</v>
      </c>
      <c r="R180" s="11" t="s">
        <v>159</v>
      </c>
      <c r="S180" s="11" t="s">
        <v>291</v>
      </c>
      <c r="T180" s="11" t="s">
        <v>294</v>
      </c>
      <c r="U180" s="11" t="s">
        <v>384</v>
      </c>
      <c r="V180" s="12" t="s">
        <v>95</v>
      </c>
      <c r="W180" s="12" t="s">
        <v>46</v>
      </c>
      <c r="X180" s="12" t="s">
        <v>388</v>
      </c>
      <c r="Y180" s="11" t="str">
        <f>HYPERLINK("https://www.stromypodkontrolou.cz/map/tree/d41bce85-5010-4276-b929-4760db78c679/589ae75f-b08b-413c-8a2f-8868752a11f2")</f>
        <v>https://www.stromypodkontrolou.cz/map/tree/d41bce85-5010-4276-b929-4760db78c679/589ae75f-b08b-413c-8a2f-8868752a11f2</v>
      </c>
      <c r="Z180" s="11">
        <v>-755757.00244800001</v>
      </c>
      <c r="AA180" s="11">
        <v>-991756.14397500001</v>
      </c>
      <c r="AB180" s="11" t="str">
        <f>HYPERLINK("https://www.mapy.cz?st=search&amp;fr=50.52779648 14.14180957")</f>
        <v>https://www.mapy.cz?st=search&amp;fr=50.52779648 14.14180957</v>
      </c>
      <c r="AC180" s="6">
        <f>(J180-K180)*L180</f>
        <v>392</v>
      </c>
      <c r="AD180" s="6" t="s">
        <v>868</v>
      </c>
      <c r="AE180" s="37"/>
    </row>
    <row r="181" spans="1:31" ht="35.1" customHeight="1" x14ac:dyDescent="0.2">
      <c r="A181" s="26" t="s">
        <v>297</v>
      </c>
      <c r="B181" s="12">
        <v>5</v>
      </c>
      <c r="C181" s="13" t="s">
        <v>638</v>
      </c>
      <c r="D181" s="14" t="s">
        <v>264</v>
      </c>
      <c r="E181" s="11" t="s">
        <v>265</v>
      </c>
      <c r="F181" s="12" t="s">
        <v>41</v>
      </c>
      <c r="G181" s="12" t="s">
        <v>64</v>
      </c>
      <c r="H181" s="12"/>
      <c r="I181" s="12"/>
      <c r="J181" s="12" t="s">
        <v>60</v>
      </c>
      <c r="K181" s="12" t="s">
        <v>61</v>
      </c>
      <c r="L181" s="12" t="s">
        <v>33</v>
      </c>
      <c r="M181" s="12" t="s">
        <v>34</v>
      </c>
      <c r="N181" s="12" t="s">
        <v>105</v>
      </c>
      <c r="O181" s="12" t="s">
        <v>46</v>
      </c>
      <c r="P181" s="12" t="s">
        <v>36</v>
      </c>
      <c r="Q181" s="12" t="s">
        <v>36</v>
      </c>
      <c r="R181" s="11" t="s">
        <v>114</v>
      </c>
      <c r="S181" s="11" t="s">
        <v>291</v>
      </c>
      <c r="T181" s="11" t="s">
        <v>860</v>
      </c>
      <c r="U181" s="11" t="s">
        <v>378</v>
      </c>
      <c r="V181" s="12" t="s">
        <v>95</v>
      </c>
      <c r="W181" s="12" t="s">
        <v>46</v>
      </c>
      <c r="X181" s="12" t="s">
        <v>379</v>
      </c>
      <c r="Y181" s="11" t="str">
        <f>HYPERLINK("https://www.stromypodkontrolou.cz/map/tree/d41bce85-5010-4276-b929-4760db78c679/36a2bee3-1301-45f9-a979-99e8979abedd")</f>
        <v>https://www.stromypodkontrolou.cz/map/tree/d41bce85-5010-4276-b929-4760db78c679/36a2bee3-1301-45f9-a979-99e8979abedd</v>
      </c>
      <c r="Z181" s="11">
        <v>-755491.27827300003</v>
      </c>
      <c r="AA181" s="11">
        <v>-991217.95322899998</v>
      </c>
      <c r="AB181" s="11" t="str">
        <f>HYPERLINK("https://www.mapy.cz?st=search&amp;fr=50.53292171 14.14445792")</f>
        <v>https://www.mapy.cz?st=search&amp;fr=50.53292171 14.14445792</v>
      </c>
      <c r="AC181" s="6">
        <f>(J181-K181)*L181</f>
        <v>72</v>
      </c>
      <c r="AD181" s="6" t="s">
        <v>866</v>
      </c>
      <c r="AE181" s="37"/>
    </row>
    <row r="182" spans="1:31" ht="35.1" customHeight="1" x14ac:dyDescent="0.2">
      <c r="A182" s="26" t="s">
        <v>298</v>
      </c>
      <c r="B182" s="12">
        <v>15827</v>
      </c>
      <c r="C182" s="13" t="s">
        <v>639</v>
      </c>
      <c r="D182" s="14" t="s">
        <v>39</v>
      </c>
      <c r="E182" s="11" t="s">
        <v>40</v>
      </c>
      <c r="F182" s="12" t="s">
        <v>228</v>
      </c>
      <c r="G182" s="12" t="s">
        <v>83</v>
      </c>
      <c r="H182" s="12"/>
      <c r="I182" s="12"/>
      <c r="J182" s="12" t="s">
        <v>56</v>
      </c>
      <c r="K182" s="12" t="s">
        <v>103</v>
      </c>
      <c r="L182" s="12" t="s">
        <v>49</v>
      </c>
      <c r="M182" s="12" t="s">
        <v>34</v>
      </c>
      <c r="N182" s="12" t="s">
        <v>105</v>
      </c>
      <c r="O182" s="12" t="s">
        <v>46</v>
      </c>
      <c r="P182" s="12" t="s">
        <v>37</v>
      </c>
      <c r="Q182" s="12" t="s">
        <v>37</v>
      </c>
      <c r="R182" s="11" t="s">
        <v>504</v>
      </c>
      <c r="S182" s="11" t="s">
        <v>291</v>
      </c>
      <c r="T182" s="11" t="s">
        <v>299</v>
      </c>
      <c r="U182" s="11" t="s">
        <v>382</v>
      </c>
      <c r="V182" s="12"/>
      <c r="W182" s="12" t="s">
        <v>46</v>
      </c>
      <c r="X182" s="12" t="s">
        <v>549</v>
      </c>
      <c r="Y182" s="11" t="str">
        <f>HYPERLINK("https://www.stromypodkontrolou.cz/map/tree/d41bce85-5010-4276-b929-4760db78c679/6e0b17db-637d-4391-98e6-f791d9330e2a")</f>
        <v>https://www.stromypodkontrolou.cz/map/tree/d41bce85-5010-4276-b929-4760db78c679/6e0b17db-637d-4391-98e6-f791d9330e2a</v>
      </c>
      <c r="Z182" s="11">
        <v>-754299.21444799996</v>
      </c>
      <c r="AA182" s="11">
        <v>-991590.18399299996</v>
      </c>
      <c r="AB182" s="11" t="str">
        <f>HYPERLINK("https://www.mapy.cz?st=search&amp;fr=50.53110700 14.16184098")</f>
        <v>https://www.mapy.cz?st=search&amp;fr=50.53110700 14.16184098</v>
      </c>
      <c r="AC182" s="6">
        <f t="shared" ref="AC182:AC183" si="39">(J182-K182)*L182</f>
        <v>135</v>
      </c>
      <c r="AD182" s="6" t="s">
        <v>870</v>
      </c>
      <c r="AE182" s="37"/>
    </row>
    <row r="183" spans="1:31" ht="34.5" customHeight="1" x14ac:dyDescent="0.2">
      <c r="A183" s="26" t="s">
        <v>300</v>
      </c>
      <c r="B183" s="12">
        <v>15773</v>
      </c>
      <c r="C183" s="13" t="s">
        <v>640</v>
      </c>
      <c r="D183" s="14" t="s">
        <v>28</v>
      </c>
      <c r="E183" s="11" t="s">
        <v>29</v>
      </c>
      <c r="F183" s="12" t="s">
        <v>55</v>
      </c>
      <c r="G183" s="12" t="s">
        <v>124</v>
      </c>
      <c r="H183" s="12" t="s">
        <v>69</v>
      </c>
      <c r="I183" s="12"/>
      <c r="J183" s="12" t="s">
        <v>56</v>
      </c>
      <c r="K183" s="12" t="s">
        <v>42</v>
      </c>
      <c r="L183" s="12" t="s">
        <v>49</v>
      </c>
      <c r="M183" s="12" t="s">
        <v>34</v>
      </c>
      <c r="N183" s="12" t="s">
        <v>105</v>
      </c>
      <c r="O183" s="12" t="s">
        <v>46</v>
      </c>
      <c r="P183" s="12" t="s">
        <v>36</v>
      </c>
      <c r="Q183" s="12" t="s">
        <v>37</v>
      </c>
      <c r="R183" s="11" t="s">
        <v>641</v>
      </c>
      <c r="S183" s="11" t="s">
        <v>291</v>
      </c>
      <c r="T183" s="11" t="s">
        <v>301</v>
      </c>
      <c r="U183" s="11" t="s">
        <v>382</v>
      </c>
      <c r="V183" s="12" t="s">
        <v>95</v>
      </c>
      <c r="W183" s="12" t="s">
        <v>46</v>
      </c>
      <c r="X183" s="12"/>
      <c r="Y183" s="11" t="str">
        <f>HYPERLINK("https://www.stromypodkontrolou.cz/map/tree/d41bce85-5010-4276-b929-4760db78c679/77e8416d-75a7-411a-981c-7518b87bb864")</f>
        <v>https://www.stromypodkontrolou.cz/map/tree/d41bce85-5010-4276-b929-4760db78c679/77e8416d-75a7-411a-981c-7518b87bb864</v>
      </c>
      <c r="Z183" s="11">
        <v>-753453.92599400005</v>
      </c>
      <c r="AA183" s="11">
        <v>-992075.18015000003</v>
      </c>
      <c r="AB183" s="11" t="str">
        <f>HYPERLINK("https://www.mapy.cz?st=search&amp;fr=50.52785082 14.17460159")</f>
        <v>https://www.mapy.cz?st=search&amp;fr=50.52785082 14.17460159</v>
      </c>
      <c r="AC183" s="6">
        <f t="shared" si="39"/>
        <v>81</v>
      </c>
      <c r="AD183" s="6" t="s">
        <v>870</v>
      </c>
      <c r="AE183" s="37"/>
    </row>
    <row r="184" spans="1:31" ht="35.1" customHeight="1" x14ac:dyDescent="0.2">
      <c r="A184" s="47" t="s">
        <v>303</v>
      </c>
      <c r="B184" s="46">
        <v>11161</v>
      </c>
      <c r="C184" s="48" t="s">
        <v>642</v>
      </c>
      <c r="D184" s="49" t="s">
        <v>28</v>
      </c>
      <c r="E184" s="45" t="s">
        <v>29</v>
      </c>
      <c r="F184" s="46" t="s">
        <v>325</v>
      </c>
      <c r="G184" s="46" t="s">
        <v>219</v>
      </c>
      <c r="H184" s="46"/>
      <c r="I184" s="46"/>
      <c r="J184" s="46" t="s">
        <v>31</v>
      </c>
      <c r="K184" s="46" t="s">
        <v>32</v>
      </c>
      <c r="L184" s="46" t="s">
        <v>136</v>
      </c>
      <c r="M184" s="46" t="s">
        <v>34</v>
      </c>
      <c r="N184" s="46" t="s">
        <v>105</v>
      </c>
      <c r="O184" s="46" t="s">
        <v>46</v>
      </c>
      <c r="P184" s="46" t="s">
        <v>36</v>
      </c>
      <c r="Q184" s="46" t="s">
        <v>37</v>
      </c>
      <c r="R184" s="45"/>
      <c r="S184" s="45" t="s">
        <v>304</v>
      </c>
      <c r="T184" s="45" t="s">
        <v>305</v>
      </c>
      <c r="U184" s="11" t="s">
        <v>382</v>
      </c>
      <c r="V184" s="12" t="s">
        <v>95</v>
      </c>
      <c r="W184" s="12" t="s">
        <v>46</v>
      </c>
      <c r="X184" s="12"/>
      <c r="Y184" s="45" t="str">
        <f>HYPERLINK("https://www.stromypodkontrolou.cz/map/tree/d41bce85-5010-4276-b929-4760db78c679/d79c7523-0d8a-47f9-ba2a-829348ff6e78")</f>
        <v>https://www.stromypodkontrolou.cz/map/tree/d41bce85-5010-4276-b929-4760db78c679/d79c7523-0d8a-47f9-ba2a-829348ff6e78</v>
      </c>
      <c r="Z184" s="45">
        <v>-751934.97687699995</v>
      </c>
      <c r="AA184" s="45">
        <v>-992546.21046600002</v>
      </c>
      <c r="AB184" s="45" t="str">
        <f>HYPERLINK("https://www.mapy.cz?st=search&amp;fr=50.52556148 14.19674088")</f>
        <v>https://www.mapy.cz?st=search&amp;fr=50.52556148 14.19674088</v>
      </c>
      <c r="AC184" s="6">
        <f>(J184-K184)*L184</f>
        <v>294</v>
      </c>
      <c r="AD184" s="6" t="s">
        <v>875</v>
      </c>
      <c r="AE184" s="37"/>
    </row>
    <row r="185" spans="1:31" ht="35.1" customHeight="1" x14ac:dyDescent="0.2">
      <c r="A185" s="47"/>
      <c r="B185" s="46"/>
      <c r="C185" s="48"/>
      <c r="D185" s="49"/>
      <c r="E185" s="45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5"/>
      <c r="S185" s="45"/>
      <c r="T185" s="45"/>
      <c r="U185" s="11" t="s">
        <v>380</v>
      </c>
      <c r="V185" s="12" t="s">
        <v>95</v>
      </c>
      <c r="W185" s="12" t="s">
        <v>46</v>
      </c>
      <c r="X185" s="12" t="s">
        <v>407</v>
      </c>
      <c r="Y185" s="45"/>
      <c r="Z185" s="45"/>
      <c r="AA185" s="45"/>
      <c r="AB185" s="45"/>
      <c r="AC185" s="6">
        <f>(J185-K185)*L185</f>
        <v>0</v>
      </c>
      <c r="AD185" s="6" t="s">
        <v>871</v>
      </c>
      <c r="AE185" s="37"/>
    </row>
    <row r="186" spans="1:31" ht="35.1" customHeight="1" x14ac:dyDescent="0.2">
      <c r="A186" s="26" t="s">
        <v>303</v>
      </c>
      <c r="B186" s="12">
        <v>11165</v>
      </c>
      <c r="C186" s="13" t="s">
        <v>643</v>
      </c>
      <c r="D186" s="14" t="s">
        <v>28</v>
      </c>
      <c r="E186" s="11" t="s">
        <v>29</v>
      </c>
      <c r="F186" s="12" t="s">
        <v>227</v>
      </c>
      <c r="G186" s="12" t="s">
        <v>69</v>
      </c>
      <c r="H186" s="12" t="s">
        <v>106</v>
      </c>
      <c r="I186" s="12"/>
      <c r="J186" s="12" t="s">
        <v>170</v>
      </c>
      <c r="K186" s="12" t="s">
        <v>32</v>
      </c>
      <c r="L186" s="12" t="s">
        <v>48</v>
      </c>
      <c r="M186" s="12" t="s">
        <v>34</v>
      </c>
      <c r="N186" s="12" t="s">
        <v>105</v>
      </c>
      <c r="O186" s="12" t="s">
        <v>46</v>
      </c>
      <c r="P186" s="12" t="s">
        <v>36</v>
      </c>
      <c r="Q186" s="12" t="s">
        <v>37</v>
      </c>
      <c r="R186" s="11" t="s">
        <v>644</v>
      </c>
      <c r="S186" s="11" t="s">
        <v>304</v>
      </c>
      <c r="T186" s="11" t="s">
        <v>305</v>
      </c>
      <c r="U186" s="11" t="s">
        <v>382</v>
      </c>
      <c r="V186" s="12" t="s">
        <v>95</v>
      </c>
      <c r="W186" s="12" t="s">
        <v>46</v>
      </c>
      <c r="X186" s="12"/>
      <c r="Y186" s="11" t="str">
        <f>HYPERLINK("https://www.stromypodkontrolou.cz/map/tree/d41bce85-5010-4276-b929-4760db78c679/2f1f1f80-31ef-4b0f-a9f1-359c3d01b9d1")</f>
        <v>https://www.stromypodkontrolou.cz/map/tree/d41bce85-5010-4276-b929-4760db78c679/2f1f1f80-31ef-4b0f-a9f1-359c3d01b9d1</v>
      </c>
      <c r="Z186" s="11">
        <v>-751987.28845999995</v>
      </c>
      <c r="AA186" s="11">
        <v>-992538.01458299998</v>
      </c>
      <c r="AB186" s="11" t="str">
        <f>HYPERLINK("https://www.mapy.cz?st=search&amp;fr=50.52556894 14.19599422")</f>
        <v>https://www.mapy.cz?st=search&amp;fr=50.52556894 14.19599422</v>
      </c>
      <c r="AC186" s="6">
        <f t="shared" ref="AC186:AC190" si="40">(J186-K186)*L186</f>
        <v>220</v>
      </c>
      <c r="AD186" s="6" t="s">
        <v>870</v>
      </c>
      <c r="AE186" s="37"/>
    </row>
    <row r="187" spans="1:31" ht="35.1" customHeight="1" x14ac:dyDescent="0.2">
      <c r="A187" s="26" t="s">
        <v>303</v>
      </c>
      <c r="B187" s="12">
        <v>11166</v>
      </c>
      <c r="C187" s="13" t="s">
        <v>645</v>
      </c>
      <c r="D187" s="14" t="s">
        <v>28</v>
      </c>
      <c r="E187" s="11" t="s">
        <v>29</v>
      </c>
      <c r="F187" s="12" t="s">
        <v>54</v>
      </c>
      <c r="G187" s="12"/>
      <c r="H187" s="12"/>
      <c r="I187" s="12"/>
      <c r="J187" s="12" t="s">
        <v>75</v>
      </c>
      <c r="K187" s="12" t="s">
        <v>32</v>
      </c>
      <c r="L187" s="12" t="s">
        <v>95</v>
      </c>
      <c r="M187" s="12" t="s">
        <v>34</v>
      </c>
      <c r="N187" s="12" t="s">
        <v>45</v>
      </c>
      <c r="O187" s="12" t="s">
        <v>37</v>
      </c>
      <c r="P187" s="12" t="s">
        <v>37</v>
      </c>
      <c r="Q187" s="12" t="s">
        <v>34</v>
      </c>
      <c r="R187" s="11" t="s">
        <v>431</v>
      </c>
      <c r="S187" s="11" t="s">
        <v>304</v>
      </c>
      <c r="T187" s="11" t="s">
        <v>305</v>
      </c>
      <c r="U187" s="11" t="s">
        <v>382</v>
      </c>
      <c r="V187" s="12" t="s">
        <v>95</v>
      </c>
      <c r="W187" s="12" t="s">
        <v>46</v>
      </c>
      <c r="X187" s="12"/>
      <c r="Y187" s="11" t="str">
        <f>HYPERLINK("https://www.stromypodkontrolou.cz/map/tree/d41bce85-5010-4276-b929-4760db78c679/7dedf101-605d-4c54-9997-b940b8127e2c")</f>
        <v>https://www.stromypodkontrolou.cz/map/tree/d41bce85-5010-4276-b929-4760db78c679/7dedf101-605d-4c54-9997-b940b8127e2c</v>
      </c>
      <c r="Z187" s="11">
        <v>-751988.43081599998</v>
      </c>
      <c r="AA187" s="11">
        <v>-992538.28485699999</v>
      </c>
      <c r="AB187" s="11" t="str">
        <f>HYPERLINK("https://www.mapy.cz?st=search&amp;fr=50.52556510 14.19597879")</f>
        <v>https://www.mapy.cz?st=search&amp;fr=50.52556510 14.19597879</v>
      </c>
      <c r="AC187" s="6">
        <f t="shared" si="40"/>
        <v>60</v>
      </c>
      <c r="AD187" s="6" t="s">
        <v>870</v>
      </c>
      <c r="AE187" s="37"/>
    </row>
    <row r="188" spans="1:31" ht="35.1" customHeight="1" x14ac:dyDescent="0.2">
      <c r="A188" s="47" t="s">
        <v>303</v>
      </c>
      <c r="B188" s="46">
        <v>11168</v>
      </c>
      <c r="C188" s="48" t="s">
        <v>646</v>
      </c>
      <c r="D188" s="49" t="s">
        <v>28</v>
      </c>
      <c r="E188" s="45" t="s">
        <v>29</v>
      </c>
      <c r="F188" s="46" t="s">
        <v>206</v>
      </c>
      <c r="G188" s="46" t="s">
        <v>92</v>
      </c>
      <c r="H188" s="46"/>
      <c r="I188" s="46"/>
      <c r="J188" s="46" t="s">
        <v>154</v>
      </c>
      <c r="K188" s="46" t="s">
        <v>61</v>
      </c>
      <c r="L188" s="46" t="s">
        <v>104</v>
      </c>
      <c r="M188" s="46" t="s">
        <v>34</v>
      </c>
      <c r="N188" s="46" t="s">
        <v>105</v>
      </c>
      <c r="O188" s="46" t="s">
        <v>36</v>
      </c>
      <c r="P188" s="46" t="s">
        <v>36</v>
      </c>
      <c r="Q188" s="46" t="s">
        <v>36</v>
      </c>
      <c r="R188" s="45" t="s">
        <v>155</v>
      </c>
      <c r="S188" s="45" t="s">
        <v>304</v>
      </c>
      <c r="T188" s="45" t="s">
        <v>305</v>
      </c>
      <c r="U188" s="11" t="s">
        <v>380</v>
      </c>
      <c r="V188" s="12" t="s">
        <v>95</v>
      </c>
      <c r="W188" s="12" t="s">
        <v>46</v>
      </c>
      <c r="X188" s="12" t="s">
        <v>439</v>
      </c>
      <c r="Y188" s="45" t="str">
        <f>HYPERLINK("https://www.stromypodkontrolou.cz/map/tree/d41bce85-5010-4276-b929-4760db78c679/dba2aba1-1c23-4f63-beae-978630557e01")</f>
        <v>https://www.stromypodkontrolou.cz/map/tree/d41bce85-5010-4276-b929-4760db78c679/dba2aba1-1c23-4f63-beae-978630557e01</v>
      </c>
      <c r="Z188" s="45">
        <v>-751992.34192599996</v>
      </c>
      <c r="AA188" s="45">
        <v>-992539.12336099998</v>
      </c>
      <c r="AB188" s="45" t="str">
        <f>HYPERLINK("https://www.mapy.cz?st=search&amp;fr=50.52555274 14.19592582")</f>
        <v>https://www.mapy.cz?st=search&amp;fr=50.52555274 14.19592582</v>
      </c>
      <c r="AC188" s="6">
        <f t="shared" si="40"/>
        <v>275</v>
      </c>
      <c r="AD188" s="6" t="s">
        <v>871</v>
      </c>
      <c r="AE188" s="37"/>
    </row>
    <row r="189" spans="1:31" ht="35.1" customHeight="1" x14ac:dyDescent="0.2">
      <c r="A189" s="47"/>
      <c r="B189" s="46"/>
      <c r="C189" s="48"/>
      <c r="D189" s="49"/>
      <c r="E189" s="45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5"/>
      <c r="S189" s="45"/>
      <c r="T189" s="45"/>
      <c r="U189" s="11" t="s">
        <v>382</v>
      </c>
      <c r="V189" s="12" t="s">
        <v>95</v>
      </c>
      <c r="W189" s="12" t="s">
        <v>46</v>
      </c>
      <c r="X189" s="12"/>
      <c r="Y189" s="45"/>
      <c r="Z189" s="45"/>
      <c r="AA189" s="45"/>
      <c r="AB189" s="45"/>
      <c r="AC189" s="6">
        <f t="shared" si="40"/>
        <v>0</v>
      </c>
      <c r="AD189" s="6" t="s">
        <v>875</v>
      </c>
      <c r="AE189" s="37"/>
    </row>
    <row r="190" spans="1:31" ht="35.1" customHeight="1" x14ac:dyDescent="0.2">
      <c r="A190" s="26" t="s">
        <v>303</v>
      </c>
      <c r="B190" s="12">
        <v>11169</v>
      </c>
      <c r="C190" s="13" t="s">
        <v>647</v>
      </c>
      <c r="D190" s="14" t="s">
        <v>96</v>
      </c>
      <c r="E190" s="11" t="s">
        <v>97</v>
      </c>
      <c r="F190" s="12" t="s">
        <v>123</v>
      </c>
      <c r="G190" s="12" t="s">
        <v>74</v>
      </c>
      <c r="H190" s="12" t="s">
        <v>85</v>
      </c>
      <c r="I190" s="12" t="s">
        <v>88</v>
      </c>
      <c r="J190" s="12" t="s">
        <v>112</v>
      </c>
      <c r="K190" s="12" t="s">
        <v>61</v>
      </c>
      <c r="L190" s="12" t="s">
        <v>47</v>
      </c>
      <c r="M190" s="12" t="s">
        <v>37</v>
      </c>
      <c r="N190" s="12" t="s">
        <v>105</v>
      </c>
      <c r="O190" s="12" t="s">
        <v>36</v>
      </c>
      <c r="P190" s="12" t="s">
        <v>36</v>
      </c>
      <c r="Q190" s="12" t="s">
        <v>36</v>
      </c>
      <c r="R190" s="11" t="s">
        <v>155</v>
      </c>
      <c r="S190" s="11" t="s">
        <v>304</v>
      </c>
      <c r="T190" s="11" t="s">
        <v>305</v>
      </c>
      <c r="U190" s="11" t="s">
        <v>380</v>
      </c>
      <c r="V190" s="12" t="s">
        <v>95</v>
      </c>
      <c r="W190" s="12" t="s">
        <v>46</v>
      </c>
      <c r="X190" s="12" t="s">
        <v>381</v>
      </c>
      <c r="Y190" s="11" t="str">
        <f>HYPERLINK("https://www.stromypodkontrolou.cz/map/tree/d41bce85-5010-4276-b929-4760db78c679/7521cbf8-5038-4a81-b928-1a5a2b3bb4e8")</f>
        <v>https://www.stromypodkontrolou.cz/map/tree/d41bce85-5010-4276-b929-4760db78c679/7521cbf8-5038-4a81-b928-1a5a2b3bb4e8</v>
      </c>
      <c r="Z190" s="11">
        <v>-752131.67857600003</v>
      </c>
      <c r="AA190" s="11">
        <v>-992490.98308300006</v>
      </c>
      <c r="AB190" s="11" t="str">
        <f>HYPERLINK("https://www.mapy.cz?st=search&amp;fr=50.52580681 14.19388533")</f>
        <v>https://www.mapy.cz?st=search&amp;fr=50.52580681 14.19388533</v>
      </c>
      <c r="AC190" s="6">
        <f t="shared" si="40"/>
        <v>132</v>
      </c>
      <c r="AD190" s="6" t="s">
        <v>869</v>
      </c>
      <c r="AE190" s="37"/>
    </row>
    <row r="191" spans="1:31" ht="44.25" customHeight="1" x14ac:dyDescent="0.2">
      <c r="A191" s="26" t="s">
        <v>306</v>
      </c>
      <c r="B191" s="12">
        <v>10001</v>
      </c>
      <c r="C191" s="13" t="s">
        <v>648</v>
      </c>
      <c r="D191" s="14" t="s">
        <v>39</v>
      </c>
      <c r="E191" s="11" t="s">
        <v>40</v>
      </c>
      <c r="F191" s="12" t="s">
        <v>93</v>
      </c>
      <c r="G191" s="12" t="s">
        <v>88</v>
      </c>
      <c r="H191" s="12"/>
      <c r="I191" s="12"/>
      <c r="J191" s="12" t="s">
        <v>112</v>
      </c>
      <c r="K191" s="12" t="s">
        <v>103</v>
      </c>
      <c r="L191" s="12" t="s">
        <v>49</v>
      </c>
      <c r="M191" s="12" t="s">
        <v>37</v>
      </c>
      <c r="N191" s="12" t="s">
        <v>105</v>
      </c>
      <c r="O191" s="12" t="s">
        <v>46</v>
      </c>
      <c r="P191" s="12" t="s">
        <v>36</v>
      </c>
      <c r="Q191" s="12" t="s">
        <v>37</v>
      </c>
      <c r="R191" s="11" t="s">
        <v>171</v>
      </c>
      <c r="S191" s="11" t="s">
        <v>307</v>
      </c>
      <c r="T191" s="11" t="s">
        <v>308</v>
      </c>
      <c r="U191" s="11" t="s">
        <v>380</v>
      </c>
      <c r="V191" s="12" t="s">
        <v>95</v>
      </c>
      <c r="W191" s="12" t="s">
        <v>46</v>
      </c>
      <c r="X191" s="12" t="s">
        <v>649</v>
      </c>
      <c r="Y191" s="11" t="str">
        <f>HYPERLINK("https://www.stromypodkontrolou.cz/map/tree/d41bce85-5010-4276-b929-4760db78c679/9184869f-a4e3-483a-a7cb-a1b2dcf51b30")</f>
        <v>https://www.stromypodkontrolou.cz/map/tree/d41bce85-5010-4276-b929-4760db78c679/9184869f-a4e3-483a-a7cb-a1b2dcf51b30</v>
      </c>
      <c r="Z191" s="11">
        <v>-760492.30079100002</v>
      </c>
      <c r="AA191" s="11">
        <v>-979878.22624800005</v>
      </c>
      <c r="AB191" s="11" t="str">
        <f>HYPERLINK("https://www.mapy.cz?st=search&amp;fr=50.62753394 14.05203972")</f>
        <v>https://www.mapy.cz?st=search&amp;fr=50.62753394 14.05203972</v>
      </c>
      <c r="AC191" s="6">
        <f>(J191-K191)*L191</f>
        <v>90</v>
      </c>
      <c r="AD191" s="6" t="s">
        <v>869</v>
      </c>
      <c r="AE191" s="37"/>
    </row>
    <row r="192" spans="1:31" ht="34.5" customHeight="1" x14ac:dyDescent="0.2">
      <c r="A192" s="26" t="s">
        <v>309</v>
      </c>
      <c r="B192" s="12">
        <v>10365</v>
      </c>
      <c r="C192" s="13" t="s">
        <v>651</v>
      </c>
      <c r="D192" s="14" t="s">
        <v>285</v>
      </c>
      <c r="E192" s="11" t="s">
        <v>286</v>
      </c>
      <c r="F192" s="12" t="s">
        <v>140</v>
      </c>
      <c r="G192" s="12"/>
      <c r="H192" s="12"/>
      <c r="I192" s="12"/>
      <c r="J192" s="12" t="s">
        <v>99</v>
      </c>
      <c r="K192" s="12" t="s">
        <v>61</v>
      </c>
      <c r="L192" s="12" t="s">
        <v>50</v>
      </c>
      <c r="M192" s="12" t="s">
        <v>37</v>
      </c>
      <c r="N192" s="12" t="s">
        <v>105</v>
      </c>
      <c r="O192" s="12" t="s">
        <v>46</v>
      </c>
      <c r="P192" s="12" t="s">
        <v>46</v>
      </c>
      <c r="Q192" s="12" t="s">
        <v>46</v>
      </c>
      <c r="R192" s="11" t="s">
        <v>137</v>
      </c>
      <c r="S192" s="11" t="s">
        <v>302</v>
      </c>
      <c r="T192" s="11" t="s">
        <v>650</v>
      </c>
      <c r="U192" s="11" t="s">
        <v>378</v>
      </c>
      <c r="V192" s="12" t="s">
        <v>95</v>
      </c>
      <c r="W192" s="12" t="s">
        <v>46</v>
      </c>
      <c r="X192" s="12" t="s">
        <v>379</v>
      </c>
      <c r="Y192" s="11" t="str">
        <f>HYPERLINK("https://www.stromypodkontrolou.cz/map/tree/d41bce85-5010-4276-b929-4760db78c679/64f98fea-273e-4d09-b3f6-e9b929f073e4")</f>
        <v>https://www.stromypodkontrolou.cz/map/tree/d41bce85-5010-4276-b929-4760db78c679/64f98fea-273e-4d09-b3f6-e9b929f073e4</v>
      </c>
      <c r="Z192" s="11">
        <v>-751599.14480600005</v>
      </c>
      <c r="AA192" s="11">
        <v>-992941.75245899998</v>
      </c>
      <c r="AB192" s="11" t="str">
        <f>HYPERLINK("https://www.mapy.cz?st=search&amp;fr=50.52246053 14.20220755")</f>
        <v>https://www.mapy.cz?st=search&amp;fr=50.52246053 14.20220755</v>
      </c>
      <c r="AC192" s="6">
        <f>(J192-K192)*L192</f>
        <v>56</v>
      </c>
      <c r="AD192" s="6" t="s">
        <v>866</v>
      </c>
      <c r="AE192" s="37"/>
    </row>
    <row r="193" spans="1:31" ht="35.1" customHeight="1" x14ac:dyDescent="0.2">
      <c r="A193" s="26" t="s">
        <v>309</v>
      </c>
      <c r="B193" s="12">
        <v>10374</v>
      </c>
      <c r="C193" s="13" t="s">
        <v>652</v>
      </c>
      <c r="D193" s="14" t="s">
        <v>261</v>
      </c>
      <c r="E193" s="11" t="s">
        <v>262</v>
      </c>
      <c r="F193" s="12" t="s">
        <v>70</v>
      </c>
      <c r="G193" s="12"/>
      <c r="H193" s="12"/>
      <c r="I193" s="12"/>
      <c r="J193" s="12" t="s">
        <v>99</v>
      </c>
      <c r="K193" s="12" t="s">
        <v>43</v>
      </c>
      <c r="L193" s="12" t="s">
        <v>33</v>
      </c>
      <c r="M193" s="12" t="s">
        <v>37</v>
      </c>
      <c r="N193" s="12" t="s">
        <v>105</v>
      </c>
      <c r="O193" s="12" t="s">
        <v>46</v>
      </c>
      <c r="P193" s="12" t="s">
        <v>36</v>
      </c>
      <c r="Q193" s="12" t="s">
        <v>36</v>
      </c>
      <c r="R193" s="11" t="s">
        <v>137</v>
      </c>
      <c r="S193" s="11" t="s">
        <v>302</v>
      </c>
      <c r="T193" s="11" t="s">
        <v>310</v>
      </c>
      <c r="U193" s="11" t="s">
        <v>378</v>
      </c>
      <c r="V193" s="12" t="s">
        <v>95</v>
      </c>
      <c r="W193" s="12" t="s">
        <v>46</v>
      </c>
      <c r="X193" s="12" t="s">
        <v>379</v>
      </c>
      <c r="Y193" s="11" t="str">
        <f>HYPERLINK("https://www.stromypodkontrolou.cz/map/tree/d41bce85-5010-4276-b929-4760db78c679/b85d4879-fff7-47f1-af87-e12d8842f005")</f>
        <v>https://www.stromypodkontrolou.cz/map/tree/d41bce85-5010-4276-b929-4760db78c679/b85d4879-fff7-47f1-af87-e12d8842f005</v>
      </c>
      <c r="Z193" s="11">
        <v>-751467.16058599995</v>
      </c>
      <c r="AA193" s="11">
        <v>-992999.59575500002</v>
      </c>
      <c r="AB193" s="11" t="str">
        <f>HYPERLINK("https://www.mapy.cz?st=search&amp;fr=50.52211073 14.20416422")</f>
        <v>https://www.mapy.cz?st=search&amp;fr=50.52211073 14.20416422</v>
      </c>
      <c r="AC193" s="6">
        <f t="shared" ref="AC193:AC194" si="41">(J193-K193)*L193</f>
        <v>72</v>
      </c>
      <c r="AD193" s="6" t="s">
        <v>866</v>
      </c>
      <c r="AE193" s="37"/>
    </row>
    <row r="194" spans="1:31" ht="35.1" customHeight="1" x14ac:dyDescent="0.2">
      <c r="A194" s="26" t="s">
        <v>309</v>
      </c>
      <c r="B194" s="12">
        <v>10375</v>
      </c>
      <c r="C194" s="13" t="s">
        <v>653</v>
      </c>
      <c r="D194" s="14" t="s">
        <v>339</v>
      </c>
      <c r="E194" s="11" t="s">
        <v>340</v>
      </c>
      <c r="F194" s="12" t="s">
        <v>71</v>
      </c>
      <c r="G194" s="12"/>
      <c r="H194" s="12"/>
      <c r="I194" s="12"/>
      <c r="J194" s="12" t="s">
        <v>112</v>
      </c>
      <c r="K194" s="12" t="s">
        <v>61</v>
      </c>
      <c r="L194" s="12" t="s">
        <v>49</v>
      </c>
      <c r="M194" s="12" t="s">
        <v>37</v>
      </c>
      <c r="N194" s="12" t="s">
        <v>105</v>
      </c>
      <c r="O194" s="12" t="s">
        <v>46</v>
      </c>
      <c r="P194" s="12" t="s">
        <v>46</v>
      </c>
      <c r="Q194" s="12" t="s">
        <v>46</v>
      </c>
      <c r="R194" s="11"/>
      <c r="S194" s="11" t="s">
        <v>302</v>
      </c>
      <c r="T194" s="11" t="s">
        <v>310</v>
      </c>
      <c r="U194" s="11" t="s">
        <v>378</v>
      </c>
      <c r="V194" s="12" t="s">
        <v>48</v>
      </c>
      <c r="W194" s="12" t="s">
        <v>46</v>
      </c>
      <c r="X194" s="12"/>
      <c r="Y194" s="11" t="str">
        <f>HYPERLINK("https://www.stromypodkontrolou.cz/map/tree/d41bce85-5010-4276-b929-4760db78c679/a71c5f56-02b4-4487-84ce-9e1abc77d8c5")</f>
        <v>https://www.stromypodkontrolou.cz/map/tree/d41bce85-5010-4276-b929-4760db78c679/a71c5f56-02b4-4487-84ce-9e1abc77d8c5</v>
      </c>
      <c r="Z194" s="11">
        <v>-751464.138179</v>
      </c>
      <c r="AA194" s="11">
        <v>-993000.81068800006</v>
      </c>
      <c r="AB194" s="11" t="str">
        <f>HYPERLINK("https://www.mapy.cz?st=search&amp;fr=50.52210369 14.20420882")</f>
        <v>https://www.mapy.cz?st=search&amp;fr=50.52210369 14.20420882</v>
      </c>
      <c r="AC194" s="6">
        <f t="shared" si="41"/>
        <v>99</v>
      </c>
      <c r="AD194" s="6" t="s">
        <v>866</v>
      </c>
      <c r="AE194" s="37"/>
    </row>
    <row r="195" spans="1:31" ht="35.1" customHeight="1" x14ac:dyDescent="0.2">
      <c r="A195" s="26" t="s">
        <v>654</v>
      </c>
      <c r="B195" s="12">
        <v>11151</v>
      </c>
      <c r="C195" s="13" t="s">
        <v>655</v>
      </c>
      <c r="D195" s="14" t="s">
        <v>128</v>
      </c>
      <c r="E195" s="11" t="s">
        <v>129</v>
      </c>
      <c r="F195" s="12" t="s">
        <v>111</v>
      </c>
      <c r="G195" s="12" t="s">
        <v>87</v>
      </c>
      <c r="H195" s="12" t="s">
        <v>108</v>
      </c>
      <c r="I195" s="12" t="s">
        <v>47</v>
      </c>
      <c r="J195" s="12" t="s">
        <v>75</v>
      </c>
      <c r="K195" s="12" t="s">
        <v>43</v>
      </c>
      <c r="L195" s="12" t="s">
        <v>47</v>
      </c>
      <c r="M195" s="12" t="s">
        <v>37</v>
      </c>
      <c r="N195" s="12" t="s">
        <v>105</v>
      </c>
      <c r="O195" s="12" t="s">
        <v>46</v>
      </c>
      <c r="P195" s="12" t="s">
        <v>36</v>
      </c>
      <c r="Q195" s="12" t="s">
        <v>36</v>
      </c>
      <c r="R195" s="11" t="s">
        <v>155</v>
      </c>
      <c r="S195" s="11" t="s">
        <v>312</v>
      </c>
      <c r="T195" s="11" t="s">
        <v>656</v>
      </c>
      <c r="U195" s="11" t="s">
        <v>378</v>
      </c>
      <c r="V195" s="12" t="s">
        <v>95</v>
      </c>
      <c r="W195" s="12" t="s">
        <v>46</v>
      </c>
      <c r="X195" s="12" t="s">
        <v>379</v>
      </c>
      <c r="Y195" s="11" t="str">
        <f>HYPERLINK("https://www.stromypodkontrolou.cz/map/tree/d41bce85-5010-4276-b929-4760db78c679/1ca13667-6d42-44b2-9f19-35d8bfe937be")</f>
        <v>https://www.stromypodkontrolou.cz/map/tree/d41bce85-5010-4276-b929-4760db78c679/1ca13667-6d42-44b2-9f19-35d8bfe937be</v>
      </c>
      <c r="Z195" s="11">
        <v>-751546.77549100004</v>
      </c>
      <c r="AA195" s="11">
        <v>-992671.85644</v>
      </c>
      <c r="AB195" s="11" t="str">
        <f>HYPERLINK("https://www.mapy.cz?st=search&amp;fr=50.52492886 14.20240905")</f>
        <v>https://www.mapy.cz?st=search&amp;fr=50.52492886 14.20240905</v>
      </c>
      <c r="AC195" s="6">
        <f>(J195-K195)*L195</f>
        <v>180</v>
      </c>
      <c r="AD195" s="6" t="s">
        <v>866</v>
      </c>
      <c r="AE195" s="37"/>
    </row>
    <row r="196" spans="1:31" ht="35.1" customHeight="1" x14ac:dyDescent="0.2">
      <c r="A196" s="47" t="s">
        <v>654</v>
      </c>
      <c r="B196" s="46">
        <v>11156</v>
      </c>
      <c r="C196" s="48" t="s">
        <v>658</v>
      </c>
      <c r="D196" s="49" t="s">
        <v>28</v>
      </c>
      <c r="E196" s="45" t="s">
        <v>29</v>
      </c>
      <c r="F196" s="46" t="s">
        <v>219</v>
      </c>
      <c r="G196" s="46"/>
      <c r="H196" s="46"/>
      <c r="I196" s="46"/>
      <c r="J196" s="46" t="s">
        <v>31</v>
      </c>
      <c r="K196" s="46" t="s">
        <v>32</v>
      </c>
      <c r="L196" s="46" t="s">
        <v>49</v>
      </c>
      <c r="M196" s="46" t="s">
        <v>34</v>
      </c>
      <c r="N196" s="46" t="s">
        <v>105</v>
      </c>
      <c r="O196" s="46" t="s">
        <v>36</v>
      </c>
      <c r="P196" s="46" t="s">
        <v>36</v>
      </c>
      <c r="Q196" s="46" t="s">
        <v>36</v>
      </c>
      <c r="R196" s="45"/>
      <c r="S196" s="45" t="s">
        <v>312</v>
      </c>
      <c r="T196" s="45" t="s">
        <v>657</v>
      </c>
      <c r="U196" s="11" t="s">
        <v>382</v>
      </c>
      <c r="V196" s="12" t="s">
        <v>95</v>
      </c>
      <c r="W196" s="12" t="s">
        <v>46</v>
      </c>
      <c r="X196" s="12"/>
      <c r="Y196" s="45" t="str">
        <f>HYPERLINK("https://www.stromypodkontrolou.cz/map/tree/d41bce85-5010-4276-b929-4760db78c679/7f180820-bb51-45f4-8e91-79b264dc9ae0")</f>
        <v>https://www.stromypodkontrolou.cz/map/tree/d41bce85-5010-4276-b929-4760db78c679/7f180820-bb51-45f4-8e91-79b264dc9ae0</v>
      </c>
      <c r="Z196" s="45">
        <v>-751515.47101700003</v>
      </c>
      <c r="AA196" s="45">
        <v>-992622.50699100003</v>
      </c>
      <c r="AB196" s="45" t="str">
        <f>HYPERLINK("https://www.mapy.cz?st=search&amp;fr=50.52540738 14.20274936")</f>
        <v>https://www.mapy.cz?st=search&amp;fr=50.52540738 14.20274936</v>
      </c>
      <c r="AC196" s="6">
        <f t="shared" ref="AC196:AC197" si="42">(J196-K196)*L196</f>
        <v>189</v>
      </c>
      <c r="AD196" s="6" t="s">
        <v>870</v>
      </c>
      <c r="AE196" s="37"/>
    </row>
    <row r="197" spans="1:31" ht="35.1" customHeight="1" x14ac:dyDescent="0.2">
      <c r="A197" s="47"/>
      <c r="B197" s="46"/>
      <c r="C197" s="48"/>
      <c r="D197" s="49"/>
      <c r="E197" s="45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5"/>
      <c r="S197" s="45"/>
      <c r="T197" s="45"/>
      <c r="U197" s="11" t="s">
        <v>380</v>
      </c>
      <c r="V197" s="12" t="s">
        <v>95</v>
      </c>
      <c r="W197" s="12" t="s">
        <v>46</v>
      </c>
      <c r="X197" s="12" t="s">
        <v>439</v>
      </c>
      <c r="Y197" s="45"/>
      <c r="Z197" s="45"/>
      <c r="AA197" s="45"/>
      <c r="AB197" s="45"/>
      <c r="AC197" s="6">
        <f t="shared" si="42"/>
        <v>0</v>
      </c>
      <c r="AD197" s="6" t="s">
        <v>869</v>
      </c>
      <c r="AE197" s="37"/>
    </row>
    <row r="198" spans="1:31" ht="35.1" customHeight="1" x14ac:dyDescent="0.2">
      <c r="A198" s="26" t="s">
        <v>311</v>
      </c>
      <c r="B198" s="12">
        <v>11127</v>
      </c>
      <c r="C198" s="13" t="s">
        <v>659</v>
      </c>
      <c r="D198" s="14" t="s">
        <v>28</v>
      </c>
      <c r="E198" s="11" t="s">
        <v>29</v>
      </c>
      <c r="F198" s="12" t="s">
        <v>65</v>
      </c>
      <c r="G198" s="12"/>
      <c r="H198" s="12"/>
      <c r="I198" s="12"/>
      <c r="J198" s="12" t="s">
        <v>60</v>
      </c>
      <c r="K198" s="12" t="s">
        <v>103</v>
      </c>
      <c r="L198" s="12" t="s">
        <v>95</v>
      </c>
      <c r="M198" s="12" t="s">
        <v>37</v>
      </c>
      <c r="N198" s="12" t="s">
        <v>45</v>
      </c>
      <c r="O198" s="12" t="s">
        <v>37</v>
      </c>
      <c r="P198" s="12" t="s">
        <v>36</v>
      </c>
      <c r="Q198" s="12" t="s">
        <v>37</v>
      </c>
      <c r="R198" s="11" t="s">
        <v>212</v>
      </c>
      <c r="S198" s="11" t="s">
        <v>312</v>
      </c>
      <c r="T198" s="11" t="s">
        <v>313</v>
      </c>
      <c r="U198" s="11" t="s">
        <v>382</v>
      </c>
      <c r="V198" s="12" t="s">
        <v>95</v>
      </c>
      <c r="W198" s="12" t="s">
        <v>46</v>
      </c>
      <c r="X198" s="12"/>
      <c r="Y198" s="11" t="str">
        <f>HYPERLINK("https://www.stromypodkontrolou.cz/map/tree/d41bce85-5010-4276-b929-4760db78c679/8c971055-1e6c-40c4-a59d-59f18d851e7b")</f>
        <v>https://www.stromypodkontrolou.cz/map/tree/d41bce85-5010-4276-b929-4760db78c679/8c971055-1e6c-40c4-a59d-59f18d851e7b</v>
      </c>
      <c r="Z198" s="11">
        <v>-750811.05293000001</v>
      </c>
      <c r="AA198" s="11">
        <v>-993117.34063600004</v>
      </c>
      <c r="AB198" s="11" t="str">
        <f>HYPERLINK("https://www.mapy.cz?st=search&amp;fr=50.52188307 14.21355766")</f>
        <v>https://www.mapy.cz?st=search&amp;fr=50.52188307 14.21355766</v>
      </c>
      <c r="AC198" s="6">
        <f t="shared" ref="AC198:AC199" si="43">(J198-K198)*L198</f>
        <v>40</v>
      </c>
      <c r="AD198" s="6" t="s">
        <v>870</v>
      </c>
      <c r="AE198" s="37"/>
    </row>
    <row r="199" spans="1:31" ht="34.5" customHeight="1" x14ac:dyDescent="0.2">
      <c r="A199" s="26" t="s">
        <v>311</v>
      </c>
      <c r="B199" s="12">
        <v>11128</v>
      </c>
      <c r="C199" s="13" t="s">
        <v>660</v>
      </c>
      <c r="D199" s="14" t="s">
        <v>28</v>
      </c>
      <c r="E199" s="11" t="s">
        <v>29</v>
      </c>
      <c r="F199" s="12" t="s">
        <v>124</v>
      </c>
      <c r="G199" s="12" t="s">
        <v>88</v>
      </c>
      <c r="H199" s="12"/>
      <c r="I199" s="12"/>
      <c r="J199" s="12" t="s">
        <v>72</v>
      </c>
      <c r="K199" s="12" t="s">
        <v>103</v>
      </c>
      <c r="L199" s="12" t="s">
        <v>95</v>
      </c>
      <c r="M199" s="12" t="s">
        <v>37</v>
      </c>
      <c r="N199" s="12" t="s">
        <v>45</v>
      </c>
      <c r="O199" s="12" t="s">
        <v>37</v>
      </c>
      <c r="P199" s="12" t="s">
        <v>36</v>
      </c>
      <c r="Q199" s="12" t="s">
        <v>36</v>
      </c>
      <c r="R199" s="11" t="s">
        <v>661</v>
      </c>
      <c r="S199" s="11" t="s">
        <v>312</v>
      </c>
      <c r="T199" s="11" t="s">
        <v>313</v>
      </c>
      <c r="U199" s="11" t="s">
        <v>382</v>
      </c>
      <c r="V199" s="12" t="s">
        <v>95</v>
      </c>
      <c r="W199" s="12" t="s">
        <v>46</v>
      </c>
      <c r="X199" s="12"/>
      <c r="Y199" s="11" t="str">
        <f>HYPERLINK("https://www.stromypodkontrolou.cz/map/tree/d41bce85-5010-4276-b929-4760db78c679/2835a33c-9ec3-42a0-9f7b-d8ef3cab9cc5")</f>
        <v>https://www.stromypodkontrolou.cz/map/tree/d41bce85-5010-4276-b929-4760db78c679/2835a33c-9ec3-42a0-9f7b-d8ef3cab9cc5</v>
      </c>
      <c r="Z199" s="11">
        <v>-750813.30230700003</v>
      </c>
      <c r="AA199" s="11">
        <v>-993116.09099000006</v>
      </c>
      <c r="AB199" s="11" t="str">
        <f>HYPERLINK("https://www.mapy.cz?st=search&amp;fr=50.52189138 14.21352379")</f>
        <v>https://www.mapy.cz?st=search&amp;fr=50.52189138 14.21352379</v>
      </c>
      <c r="AC199" s="6">
        <f t="shared" si="43"/>
        <v>70</v>
      </c>
      <c r="AD199" s="6" t="s">
        <v>870</v>
      </c>
      <c r="AE199" s="37"/>
    </row>
    <row r="200" spans="1:31" ht="35.1" customHeight="1" x14ac:dyDescent="0.2">
      <c r="A200" s="26" t="s">
        <v>311</v>
      </c>
      <c r="B200" s="12">
        <v>11133</v>
      </c>
      <c r="C200" s="13" t="s">
        <v>662</v>
      </c>
      <c r="D200" s="14" t="s">
        <v>28</v>
      </c>
      <c r="E200" s="11" t="s">
        <v>29</v>
      </c>
      <c r="F200" s="12" t="s">
        <v>123</v>
      </c>
      <c r="G200" s="12"/>
      <c r="H200" s="12"/>
      <c r="I200" s="12"/>
      <c r="J200" s="12" t="s">
        <v>75</v>
      </c>
      <c r="K200" s="12" t="s">
        <v>113</v>
      </c>
      <c r="L200" s="12" t="s">
        <v>44</v>
      </c>
      <c r="M200" s="12" t="s">
        <v>34</v>
      </c>
      <c r="N200" s="12" t="s">
        <v>105</v>
      </c>
      <c r="O200" s="12" t="s">
        <v>36</v>
      </c>
      <c r="P200" s="12" t="s">
        <v>36</v>
      </c>
      <c r="Q200" s="12" t="s">
        <v>37</v>
      </c>
      <c r="R200" s="11" t="s">
        <v>159</v>
      </c>
      <c r="S200" s="11" t="s">
        <v>312</v>
      </c>
      <c r="T200" s="11" t="s">
        <v>313</v>
      </c>
      <c r="U200" s="11" t="s">
        <v>382</v>
      </c>
      <c r="V200" s="12" t="s">
        <v>95</v>
      </c>
      <c r="W200" s="12" t="s">
        <v>46</v>
      </c>
      <c r="X200" s="12"/>
      <c r="Y200" s="11" t="str">
        <f>HYPERLINK("https://www.stromypodkontrolou.cz/map/tree/d41bce85-5010-4276-b929-4760db78c679/33bf74df-eb6a-47ba-8819-64c3ac630560")</f>
        <v>https://www.stromypodkontrolou.cz/map/tree/d41bce85-5010-4276-b929-4760db78c679/33bf74df-eb6a-47ba-8819-64c3ac630560</v>
      </c>
      <c r="Z200" s="11">
        <v>-750823.52353899996</v>
      </c>
      <c r="AA200" s="11">
        <v>-993108.69383799995</v>
      </c>
      <c r="AB200" s="11" t="str">
        <f>HYPERLINK("https://www.mapy.cz?st=search&amp;fr=50.52194446 14.21336655")</f>
        <v>https://www.mapy.cz?st=search&amp;fr=50.52194446 14.21336655</v>
      </c>
      <c r="AC200" s="6">
        <f>(J200-K200)*L200</f>
        <v>66</v>
      </c>
      <c r="AD200" s="6" t="s">
        <v>870</v>
      </c>
      <c r="AE200" s="37"/>
    </row>
    <row r="201" spans="1:31" ht="34.5" customHeight="1" x14ac:dyDescent="0.2">
      <c r="A201" s="26" t="s">
        <v>311</v>
      </c>
      <c r="B201" s="12">
        <v>11136</v>
      </c>
      <c r="C201" s="13" t="s">
        <v>663</v>
      </c>
      <c r="D201" s="14" t="s">
        <v>28</v>
      </c>
      <c r="E201" s="11" t="s">
        <v>29</v>
      </c>
      <c r="F201" s="12" t="s">
        <v>204</v>
      </c>
      <c r="G201" s="12"/>
      <c r="H201" s="12"/>
      <c r="I201" s="12"/>
      <c r="J201" s="12" t="s">
        <v>72</v>
      </c>
      <c r="K201" s="12" t="s">
        <v>32</v>
      </c>
      <c r="L201" s="12" t="s">
        <v>44</v>
      </c>
      <c r="M201" s="12" t="s">
        <v>34</v>
      </c>
      <c r="N201" s="12" t="s">
        <v>45</v>
      </c>
      <c r="O201" s="12" t="s">
        <v>37</v>
      </c>
      <c r="P201" s="12" t="s">
        <v>36</v>
      </c>
      <c r="Q201" s="12" t="s">
        <v>37</v>
      </c>
      <c r="R201" s="11" t="s">
        <v>295</v>
      </c>
      <c r="S201" s="11" t="s">
        <v>312</v>
      </c>
      <c r="T201" s="11" t="s">
        <v>313</v>
      </c>
      <c r="U201" s="11" t="s">
        <v>382</v>
      </c>
      <c r="V201" s="12" t="s">
        <v>95</v>
      </c>
      <c r="W201" s="12" t="s">
        <v>46</v>
      </c>
      <c r="X201" s="12"/>
      <c r="Y201" s="11" t="str">
        <f>HYPERLINK("https://www.stromypodkontrolou.cz/map/tree/d41bce85-5010-4276-b929-4760db78c679/19444b30-0827-4fb3-811e-7dea02b1ebac")</f>
        <v>https://www.stromypodkontrolou.cz/map/tree/d41bce85-5010-4276-b929-4760db78c679/19444b30-0827-4fb3-811e-7dea02b1ebac</v>
      </c>
      <c r="Z201" s="11">
        <v>-750836.96173700003</v>
      </c>
      <c r="AA201" s="11">
        <v>-993099.07312800002</v>
      </c>
      <c r="AB201" s="11" t="str">
        <f>HYPERLINK("https://www.mapy.cz?st=search&amp;fr=50.52201331 14.21316002")</f>
        <v>https://www.mapy.cz?st=search&amp;fr=50.52201331 14.21316002</v>
      </c>
      <c r="AC201" s="6">
        <f t="shared" ref="AC201" si="44">(J201-K201)*L201</f>
        <v>78</v>
      </c>
      <c r="AD201" s="6" t="s">
        <v>870</v>
      </c>
      <c r="AE201" s="37"/>
    </row>
    <row r="202" spans="1:31" ht="34.5" customHeight="1" x14ac:dyDescent="0.2">
      <c r="A202" s="26" t="s">
        <v>311</v>
      </c>
      <c r="B202" s="12">
        <v>11146</v>
      </c>
      <c r="C202" s="13" t="s">
        <v>664</v>
      </c>
      <c r="D202" s="14" t="s">
        <v>67</v>
      </c>
      <c r="E202" s="11" t="s">
        <v>68</v>
      </c>
      <c r="F202" s="12" t="s">
        <v>83</v>
      </c>
      <c r="G202" s="12" t="s">
        <v>85</v>
      </c>
      <c r="H202" s="12"/>
      <c r="I202" s="12"/>
      <c r="J202" s="12" t="s">
        <v>42</v>
      </c>
      <c r="K202" s="12" t="s">
        <v>61</v>
      </c>
      <c r="L202" s="12" t="s">
        <v>33</v>
      </c>
      <c r="M202" s="12" t="s">
        <v>37</v>
      </c>
      <c r="N202" s="12" t="s">
        <v>105</v>
      </c>
      <c r="O202" s="12" t="s">
        <v>46</v>
      </c>
      <c r="P202" s="12" t="s">
        <v>36</v>
      </c>
      <c r="Q202" s="12" t="s">
        <v>36</v>
      </c>
      <c r="R202" s="11" t="s">
        <v>665</v>
      </c>
      <c r="S202" s="11" t="s">
        <v>312</v>
      </c>
      <c r="T202" s="11" t="s">
        <v>313</v>
      </c>
      <c r="U202" s="11" t="s">
        <v>380</v>
      </c>
      <c r="V202" s="12" t="s">
        <v>95</v>
      </c>
      <c r="W202" s="12" t="s">
        <v>46</v>
      </c>
      <c r="X202" s="12" t="s">
        <v>386</v>
      </c>
      <c r="Y202" s="11" t="str">
        <f>HYPERLINK("https://www.stromypodkontrolou.cz/map/tree/d41bce85-5010-4276-b929-4760db78c679/9b003382-048c-4aee-a4a3-bb86772a5d3f")</f>
        <v>https://www.stromypodkontrolou.cz/map/tree/d41bce85-5010-4276-b929-4760db78c679/9b003382-048c-4aee-a4a3-bb86772a5d3f</v>
      </c>
      <c r="Z202" s="11">
        <v>-750893.868824</v>
      </c>
      <c r="AA202" s="11">
        <v>-993057.75270099996</v>
      </c>
      <c r="AB202" s="11" t="str">
        <f>HYPERLINK("https://www.mapy.cz?st=search&amp;fr=50.52231003 14.21228428")</f>
        <v>https://www.mapy.cz?st=search&amp;fr=50.52231003 14.21228428</v>
      </c>
      <c r="AC202" s="6">
        <f t="shared" ref="AC202:AC210" si="45">(J202-K202)*L202</f>
        <v>56</v>
      </c>
      <c r="AD202" s="6" t="s">
        <v>869</v>
      </c>
      <c r="AE202" s="37"/>
    </row>
    <row r="203" spans="1:31" ht="34.5" customHeight="1" x14ac:dyDescent="0.2">
      <c r="A203" s="26" t="s">
        <v>311</v>
      </c>
      <c r="B203" s="12">
        <v>11150</v>
      </c>
      <c r="C203" s="13" t="s">
        <v>666</v>
      </c>
      <c r="D203" s="14" t="s">
        <v>109</v>
      </c>
      <c r="E203" s="11" t="s">
        <v>110</v>
      </c>
      <c r="F203" s="12" t="s">
        <v>71</v>
      </c>
      <c r="G203" s="12" t="s">
        <v>140</v>
      </c>
      <c r="H203" s="12"/>
      <c r="I203" s="12"/>
      <c r="J203" s="12" t="s">
        <v>42</v>
      </c>
      <c r="K203" s="12" t="s">
        <v>61</v>
      </c>
      <c r="L203" s="12" t="s">
        <v>33</v>
      </c>
      <c r="M203" s="12" t="s">
        <v>37</v>
      </c>
      <c r="N203" s="12" t="s">
        <v>105</v>
      </c>
      <c r="O203" s="12" t="s">
        <v>46</v>
      </c>
      <c r="P203" s="12" t="s">
        <v>36</v>
      </c>
      <c r="Q203" s="12" t="s">
        <v>36</v>
      </c>
      <c r="R203" s="11" t="s">
        <v>155</v>
      </c>
      <c r="S203" s="11" t="s">
        <v>312</v>
      </c>
      <c r="T203" s="11" t="s">
        <v>313</v>
      </c>
      <c r="U203" s="11" t="s">
        <v>378</v>
      </c>
      <c r="V203" s="12" t="s">
        <v>95</v>
      </c>
      <c r="W203" s="12" t="s">
        <v>46</v>
      </c>
      <c r="X203" s="12" t="s">
        <v>379</v>
      </c>
      <c r="Y203" s="11" t="str">
        <f>HYPERLINK("https://www.stromypodkontrolou.cz/map/tree/d41bce85-5010-4276-b929-4760db78c679/b7918c1d-2815-4133-ac8f-610d77121e98")</f>
        <v>https://www.stromypodkontrolou.cz/map/tree/d41bce85-5010-4276-b929-4760db78c679/b7918c1d-2815-4133-ac8f-610d77121e98</v>
      </c>
      <c r="Z203" s="11">
        <v>-750993.68120300001</v>
      </c>
      <c r="AA203" s="11">
        <v>-993004.49159300001</v>
      </c>
      <c r="AB203" s="11" t="str">
        <f>HYPERLINK("https://www.mapy.cz?st=search&amp;fr=50.52265940 14.21078593")</f>
        <v>https://www.mapy.cz?st=search&amp;fr=50.52265940 14.21078593</v>
      </c>
      <c r="AC203" s="6">
        <f t="shared" si="45"/>
        <v>56</v>
      </c>
      <c r="AD203" s="6" t="s">
        <v>866</v>
      </c>
      <c r="AE203" s="37"/>
    </row>
    <row r="204" spans="1:31" ht="35.1" customHeight="1" x14ac:dyDescent="0.2">
      <c r="A204" s="26" t="s">
        <v>317</v>
      </c>
      <c r="B204" s="12">
        <v>10535</v>
      </c>
      <c r="C204" s="13" t="s">
        <v>667</v>
      </c>
      <c r="D204" s="14" t="s">
        <v>62</v>
      </c>
      <c r="E204" s="11" t="s">
        <v>63</v>
      </c>
      <c r="F204" s="12" t="s">
        <v>230</v>
      </c>
      <c r="G204" s="12"/>
      <c r="H204" s="12"/>
      <c r="I204" s="12"/>
      <c r="J204" s="12" t="s">
        <v>112</v>
      </c>
      <c r="K204" s="12" t="s">
        <v>43</v>
      </c>
      <c r="L204" s="12" t="s">
        <v>48</v>
      </c>
      <c r="M204" s="12" t="s">
        <v>34</v>
      </c>
      <c r="N204" s="12" t="s">
        <v>105</v>
      </c>
      <c r="O204" s="12" t="s">
        <v>46</v>
      </c>
      <c r="P204" s="12" t="s">
        <v>37</v>
      </c>
      <c r="Q204" s="12" t="s">
        <v>37</v>
      </c>
      <c r="R204" s="11" t="s">
        <v>668</v>
      </c>
      <c r="S204" s="11" t="s">
        <v>314</v>
      </c>
      <c r="T204" s="11" t="s">
        <v>315</v>
      </c>
      <c r="U204" s="11" t="s">
        <v>384</v>
      </c>
      <c r="V204" s="12" t="s">
        <v>95</v>
      </c>
      <c r="W204" s="12" t="s">
        <v>46</v>
      </c>
      <c r="X204" s="12" t="s">
        <v>388</v>
      </c>
      <c r="Y204" s="11" t="str">
        <f>HYPERLINK("https://www.stromypodkontrolou.cz/map/tree/d41bce85-5010-4276-b929-4760db78c679/fa1264ff-a843-4c53-931e-b0a8b96f8a23")</f>
        <v>https://www.stromypodkontrolou.cz/map/tree/d41bce85-5010-4276-b929-4760db78c679/fa1264ff-a843-4c53-931e-b0a8b96f8a23</v>
      </c>
      <c r="Z204" s="11">
        <v>-750477.15623800003</v>
      </c>
      <c r="AA204" s="11">
        <v>-993853.195633</v>
      </c>
      <c r="AB204" s="11" t="str">
        <f>HYPERLINK("https://www.mapy.cz?st=search&amp;fr=50.51574912 14.21966270")</f>
        <v>https://www.mapy.cz?st=search&amp;fr=50.51574912 14.21966270</v>
      </c>
      <c r="AC204" s="6">
        <f t="shared" si="45"/>
        <v>120</v>
      </c>
      <c r="AD204" s="6" t="s">
        <v>865</v>
      </c>
      <c r="AE204" s="37"/>
    </row>
    <row r="205" spans="1:31" ht="35.1" customHeight="1" x14ac:dyDescent="0.2">
      <c r="A205" s="26" t="s">
        <v>317</v>
      </c>
      <c r="B205" s="12">
        <v>10553</v>
      </c>
      <c r="C205" s="13" t="s">
        <v>670</v>
      </c>
      <c r="D205" s="14" t="s">
        <v>28</v>
      </c>
      <c r="E205" s="11" t="s">
        <v>29</v>
      </c>
      <c r="F205" s="12" t="s">
        <v>532</v>
      </c>
      <c r="G205" s="12" t="s">
        <v>122</v>
      </c>
      <c r="H205" s="12" t="s">
        <v>213</v>
      </c>
      <c r="I205" s="12"/>
      <c r="J205" s="12" t="s">
        <v>154</v>
      </c>
      <c r="K205" s="12" t="s">
        <v>76</v>
      </c>
      <c r="L205" s="12" t="s">
        <v>94</v>
      </c>
      <c r="M205" s="12" t="s">
        <v>95</v>
      </c>
      <c r="N205" s="12" t="s">
        <v>105</v>
      </c>
      <c r="O205" s="12" t="s">
        <v>37</v>
      </c>
      <c r="P205" s="12" t="s">
        <v>37</v>
      </c>
      <c r="Q205" s="12" t="s">
        <v>34</v>
      </c>
      <c r="R205" s="11" t="s">
        <v>671</v>
      </c>
      <c r="S205" s="11" t="s">
        <v>314</v>
      </c>
      <c r="T205" s="11" t="s">
        <v>318</v>
      </c>
      <c r="U205" s="11" t="s">
        <v>384</v>
      </c>
      <c r="V205" s="12" t="s">
        <v>95</v>
      </c>
      <c r="W205" s="12" t="s">
        <v>46</v>
      </c>
      <c r="X205" s="12" t="s">
        <v>388</v>
      </c>
      <c r="Y205" s="11" t="str">
        <f>HYPERLINK("https://www.stromypodkontrolou.cz/map/tree/d41bce85-5010-4276-b929-4760db78c679/0a215a96-6f16-4647-9cd4-6804bd032330")</f>
        <v>https://www.stromypodkontrolou.cz/map/tree/d41bce85-5010-4276-b929-4760db78c679/0a215a96-6f16-4647-9cd4-6804bd032330</v>
      </c>
      <c r="Z205" s="11">
        <v>-750387.18911699997</v>
      </c>
      <c r="AA205" s="11">
        <v>-994363.70398400002</v>
      </c>
      <c r="AB205" s="11" t="str">
        <f>HYPERLINK("https://www.mapy.cz?st=search&amp;fr=50.51131646 14.22191911")</f>
        <v>https://www.mapy.cz?st=search&amp;fr=50.51131646 14.22191911</v>
      </c>
      <c r="AC205" s="6">
        <f t="shared" si="45"/>
        <v>273</v>
      </c>
      <c r="AD205" s="6" t="s">
        <v>879</v>
      </c>
      <c r="AE205" s="37"/>
    </row>
    <row r="206" spans="1:31" ht="27.75" customHeight="1" x14ac:dyDescent="0.2">
      <c r="A206" s="26" t="s">
        <v>317</v>
      </c>
      <c r="B206" s="12">
        <v>10559</v>
      </c>
      <c r="C206" s="13" t="s">
        <v>672</v>
      </c>
      <c r="D206" s="14" t="s">
        <v>285</v>
      </c>
      <c r="E206" s="11" t="s">
        <v>286</v>
      </c>
      <c r="F206" s="12" t="s">
        <v>120</v>
      </c>
      <c r="G206" s="12"/>
      <c r="H206" s="12"/>
      <c r="I206" s="12"/>
      <c r="J206" s="12" t="s">
        <v>79</v>
      </c>
      <c r="K206" s="12" t="s">
        <v>103</v>
      </c>
      <c r="L206" s="12" t="s">
        <v>47</v>
      </c>
      <c r="M206" s="12" t="s">
        <v>37</v>
      </c>
      <c r="N206" s="12" t="s">
        <v>105</v>
      </c>
      <c r="O206" s="12" t="s">
        <v>46</v>
      </c>
      <c r="P206" s="12" t="s">
        <v>37</v>
      </c>
      <c r="Q206" s="12" t="s">
        <v>37</v>
      </c>
      <c r="R206" s="11" t="s">
        <v>137</v>
      </c>
      <c r="S206" s="11" t="s">
        <v>314</v>
      </c>
      <c r="T206" s="11" t="s">
        <v>316</v>
      </c>
      <c r="U206" s="9" t="s">
        <v>673</v>
      </c>
      <c r="V206" s="10"/>
      <c r="W206" s="10" t="s">
        <v>46</v>
      </c>
      <c r="X206" s="12" t="s">
        <v>674</v>
      </c>
      <c r="Y206" s="11" t="str">
        <f>HYPERLINK("https://www.stromypodkontrolou.cz/map/tree/d41bce85-5010-4276-b929-4760db78c679/c04d5419-81d2-4343-b061-d1ed3187a5b6")</f>
        <v>https://www.stromypodkontrolou.cz/map/tree/d41bce85-5010-4276-b929-4760db78c679/c04d5419-81d2-4343-b061-d1ed3187a5b6</v>
      </c>
      <c r="Z206" s="11">
        <v>-750396.41185399995</v>
      </c>
      <c r="AA206" s="11">
        <v>-994464.69347099995</v>
      </c>
      <c r="AB206" s="11" t="str">
        <f>HYPERLINK("https://www.mapy.cz?st=search&amp;fr=50.51040583 14.22198817")</f>
        <v>https://www.mapy.cz?st=search&amp;fr=50.51040583 14.22198817</v>
      </c>
      <c r="AC206" s="6">
        <f t="shared" si="45"/>
        <v>108</v>
      </c>
      <c r="AD206" s="6" t="s">
        <v>880</v>
      </c>
      <c r="AE206" s="37"/>
    </row>
    <row r="207" spans="1:31" ht="35.1" customHeight="1" x14ac:dyDescent="0.2">
      <c r="A207" s="26" t="s">
        <v>317</v>
      </c>
      <c r="B207" s="12">
        <v>10566</v>
      </c>
      <c r="C207" s="13" t="s">
        <v>675</v>
      </c>
      <c r="D207" s="14" t="s">
        <v>109</v>
      </c>
      <c r="E207" s="11" t="s">
        <v>110</v>
      </c>
      <c r="F207" s="12" t="s">
        <v>211</v>
      </c>
      <c r="G207" s="12"/>
      <c r="H207" s="12"/>
      <c r="I207" s="12"/>
      <c r="J207" s="12" t="s">
        <v>75</v>
      </c>
      <c r="K207" s="12" t="s">
        <v>113</v>
      </c>
      <c r="L207" s="12" t="s">
        <v>136</v>
      </c>
      <c r="M207" s="12" t="s">
        <v>34</v>
      </c>
      <c r="N207" s="12" t="s">
        <v>105</v>
      </c>
      <c r="O207" s="12" t="s">
        <v>36</v>
      </c>
      <c r="P207" s="12" t="s">
        <v>36</v>
      </c>
      <c r="Q207" s="12" t="s">
        <v>36</v>
      </c>
      <c r="R207" s="11" t="s">
        <v>504</v>
      </c>
      <c r="S207" s="11" t="s">
        <v>314</v>
      </c>
      <c r="T207" s="11" t="s">
        <v>316</v>
      </c>
      <c r="U207" s="11" t="s">
        <v>382</v>
      </c>
      <c r="V207" s="12" t="s">
        <v>95</v>
      </c>
      <c r="W207" s="12" t="s">
        <v>46</v>
      </c>
      <c r="X207" s="12"/>
      <c r="Y207" s="11" t="str">
        <f>HYPERLINK("https://www.stromypodkontrolou.cz/map/tree/d41bce85-5010-4276-b929-4760db78c679/be74eec5-4f94-434d-8ee0-e7a8bde8ffcf")</f>
        <v>https://www.stromypodkontrolou.cz/map/tree/d41bce85-5010-4276-b929-4760db78c679/be74eec5-4f94-434d-8ee0-e7a8bde8ffcf</v>
      </c>
      <c r="Z207" s="11">
        <v>-750393.34556599997</v>
      </c>
      <c r="AA207" s="11">
        <v>-994509.93170099996</v>
      </c>
      <c r="AB207" s="11" t="str">
        <f>HYPERLINK("https://www.mapy.cz?st=search&amp;fr=50.51000690 14.22211960")</f>
        <v>https://www.mapy.cz?st=search&amp;fr=50.51000690 14.22211960</v>
      </c>
      <c r="AC207" s="6">
        <f t="shared" si="45"/>
        <v>154</v>
      </c>
      <c r="AD207" s="6" t="s">
        <v>870</v>
      </c>
      <c r="AE207" s="37"/>
    </row>
    <row r="208" spans="1:31" ht="35.1" customHeight="1" x14ac:dyDescent="0.2">
      <c r="A208" s="26" t="s">
        <v>317</v>
      </c>
      <c r="B208" s="12">
        <v>10571</v>
      </c>
      <c r="C208" s="13" t="s">
        <v>676</v>
      </c>
      <c r="D208" s="14" t="s">
        <v>285</v>
      </c>
      <c r="E208" s="11" t="s">
        <v>286</v>
      </c>
      <c r="F208" s="12" t="s">
        <v>130</v>
      </c>
      <c r="G208" s="12"/>
      <c r="H208" s="12"/>
      <c r="I208" s="12"/>
      <c r="J208" s="12" t="s">
        <v>90</v>
      </c>
      <c r="K208" s="12" t="s">
        <v>103</v>
      </c>
      <c r="L208" s="12" t="s">
        <v>94</v>
      </c>
      <c r="M208" s="12" t="s">
        <v>37</v>
      </c>
      <c r="N208" s="12" t="s">
        <v>105</v>
      </c>
      <c r="O208" s="12" t="s">
        <v>46</v>
      </c>
      <c r="P208" s="12" t="s">
        <v>36</v>
      </c>
      <c r="Q208" s="12" t="s">
        <v>36</v>
      </c>
      <c r="R208" s="11" t="s">
        <v>137</v>
      </c>
      <c r="S208" s="11" t="s">
        <v>314</v>
      </c>
      <c r="T208" s="11" t="s">
        <v>316</v>
      </c>
      <c r="U208" s="11" t="s">
        <v>378</v>
      </c>
      <c r="V208" s="12" t="s">
        <v>95</v>
      </c>
      <c r="W208" s="12" t="s">
        <v>46</v>
      </c>
      <c r="X208" s="12" t="s">
        <v>379</v>
      </c>
      <c r="Y208" s="11" t="str">
        <f>HYPERLINK("https://www.stromypodkontrolou.cz/map/tree/d41bce85-5010-4276-b929-4760db78c679/4c3e103e-d077-48aa-b4ff-a6ce20e1c39a")</f>
        <v>https://www.stromypodkontrolou.cz/map/tree/d41bce85-5010-4276-b929-4760db78c679/4c3e103e-d077-48aa-b4ff-a6ce20e1c39a</v>
      </c>
      <c r="Z208" s="11">
        <v>-750394.49424699997</v>
      </c>
      <c r="AA208" s="11">
        <v>-994564.159858</v>
      </c>
      <c r="AB208" s="11" t="str">
        <f>HYPERLINK("https://www.mapy.cz?st=search&amp;fr=50.50952267 14.22220979")</f>
        <v>https://www.mapy.cz?st=search&amp;fr=50.50952267 14.22220979</v>
      </c>
      <c r="AC208" s="6">
        <f t="shared" si="45"/>
        <v>143</v>
      </c>
      <c r="AD208" s="6" t="s">
        <v>866</v>
      </c>
      <c r="AE208" s="37"/>
    </row>
    <row r="209" spans="1:31" ht="35.1" customHeight="1" x14ac:dyDescent="0.2">
      <c r="A209" s="26" t="s">
        <v>317</v>
      </c>
      <c r="B209" s="12">
        <v>10575</v>
      </c>
      <c r="C209" s="13" t="s">
        <v>677</v>
      </c>
      <c r="D209" s="14" t="s">
        <v>285</v>
      </c>
      <c r="E209" s="11" t="s">
        <v>286</v>
      </c>
      <c r="F209" s="12" t="s">
        <v>55</v>
      </c>
      <c r="G209" s="12"/>
      <c r="H209" s="12"/>
      <c r="I209" s="12"/>
      <c r="J209" s="12" t="s">
        <v>79</v>
      </c>
      <c r="K209" s="12" t="s">
        <v>103</v>
      </c>
      <c r="L209" s="12" t="s">
        <v>104</v>
      </c>
      <c r="M209" s="12" t="s">
        <v>37</v>
      </c>
      <c r="N209" s="12" t="s">
        <v>105</v>
      </c>
      <c r="O209" s="12" t="s">
        <v>46</v>
      </c>
      <c r="P209" s="12" t="s">
        <v>36</v>
      </c>
      <c r="Q209" s="12" t="s">
        <v>36</v>
      </c>
      <c r="R209" s="11" t="s">
        <v>114</v>
      </c>
      <c r="S209" s="11" t="s">
        <v>314</v>
      </c>
      <c r="T209" s="11" t="s">
        <v>316</v>
      </c>
      <c r="U209" s="11" t="s">
        <v>378</v>
      </c>
      <c r="V209" s="12" t="s">
        <v>95</v>
      </c>
      <c r="W209" s="12" t="s">
        <v>46</v>
      </c>
      <c r="X209" s="12" t="s">
        <v>379</v>
      </c>
      <c r="Y209" s="11" t="str">
        <f>HYPERLINK("https://www.stromypodkontrolou.cz/map/tree/d41bce85-5010-4276-b929-4760db78c679/5f7f134b-f0ac-4a81-ad3e-6ac9049cdaca")</f>
        <v>https://www.stromypodkontrolou.cz/map/tree/d41bce85-5010-4276-b929-4760db78c679/5f7f134b-f0ac-4a81-ad3e-6ac9049cdaca</v>
      </c>
      <c r="Z209" s="11">
        <v>-750396.48800600006</v>
      </c>
      <c r="AA209" s="11">
        <v>-994592.234513</v>
      </c>
      <c r="AB209" s="11" t="str">
        <f>HYPERLINK("https://www.mapy.cz?st=search&amp;fr=50.50927023 14.22223695")</f>
        <v>https://www.mapy.cz?st=search&amp;fr=50.50927023 14.22223695</v>
      </c>
      <c r="AC209" s="6">
        <f t="shared" si="45"/>
        <v>99</v>
      </c>
      <c r="AD209" s="6" t="s">
        <v>866</v>
      </c>
      <c r="AE209" s="37"/>
    </row>
    <row r="210" spans="1:31" ht="35.1" customHeight="1" x14ac:dyDescent="0.2">
      <c r="A210" s="26" t="s">
        <v>317</v>
      </c>
      <c r="B210" s="12">
        <v>10582</v>
      </c>
      <c r="C210" s="13" t="s">
        <v>678</v>
      </c>
      <c r="D210" s="14" t="s">
        <v>62</v>
      </c>
      <c r="E210" s="11" t="s">
        <v>63</v>
      </c>
      <c r="F210" s="12" t="s">
        <v>679</v>
      </c>
      <c r="G210" s="12" t="s">
        <v>255</v>
      </c>
      <c r="H210" s="12"/>
      <c r="I210" s="12"/>
      <c r="J210" s="12" t="s">
        <v>79</v>
      </c>
      <c r="K210" s="12" t="s">
        <v>43</v>
      </c>
      <c r="L210" s="12" t="s">
        <v>59</v>
      </c>
      <c r="M210" s="12" t="s">
        <v>34</v>
      </c>
      <c r="N210" s="12" t="s">
        <v>45</v>
      </c>
      <c r="O210" s="12" t="s">
        <v>37</v>
      </c>
      <c r="P210" s="12" t="s">
        <v>37</v>
      </c>
      <c r="Q210" s="12" t="s">
        <v>37</v>
      </c>
      <c r="R210" s="11" t="s">
        <v>680</v>
      </c>
      <c r="S210" s="11" t="s">
        <v>314</v>
      </c>
      <c r="T210" s="11" t="s">
        <v>318</v>
      </c>
      <c r="U210" s="11" t="s">
        <v>382</v>
      </c>
      <c r="V210" s="12" t="s">
        <v>95</v>
      </c>
      <c r="W210" s="12" t="s">
        <v>46</v>
      </c>
      <c r="X210" s="12"/>
      <c r="Y210" s="11" t="str">
        <f>HYPERLINK("https://www.stromypodkontrolou.cz/map/tree/d41bce85-5010-4276-b929-4760db78c679/9348a970-846e-449b-8975-b4c9f6c7f576")</f>
        <v>https://www.stromypodkontrolou.cz/map/tree/d41bce85-5010-4276-b929-4760db78c679/9348a970-846e-449b-8975-b4c9f6c7f576</v>
      </c>
      <c r="Z210" s="11">
        <v>-750387.01485499996</v>
      </c>
      <c r="AA210" s="11">
        <v>-994653.77211599995</v>
      </c>
      <c r="AB210" s="11" t="str">
        <f>HYPERLINK("https://www.mapy.cz?st=search&amp;fr=50.50873420 14.22248975")</f>
        <v>https://www.mapy.cz?st=search&amp;fr=50.50873420 14.22248975</v>
      </c>
      <c r="AC210" s="6">
        <f t="shared" si="45"/>
        <v>187</v>
      </c>
      <c r="AD210" s="6" t="s">
        <v>870</v>
      </c>
      <c r="AE210" s="37"/>
    </row>
    <row r="211" spans="1:31" ht="35.1" customHeight="1" x14ac:dyDescent="0.2">
      <c r="A211" s="26" t="s">
        <v>317</v>
      </c>
      <c r="B211" s="12">
        <v>10588</v>
      </c>
      <c r="C211" s="13" t="s">
        <v>681</v>
      </c>
      <c r="D211" s="14" t="s">
        <v>28</v>
      </c>
      <c r="E211" s="11" t="s">
        <v>29</v>
      </c>
      <c r="F211" s="12" t="s">
        <v>69</v>
      </c>
      <c r="G211" s="12" t="s">
        <v>119</v>
      </c>
      <c r="H211" s="12" t="s">
        <v>59</v>
      </c>
      <c r="I211" s="12"/>
      <c r="J211" s="12" t="s">
        <v>72</v>
      </c>
      <c r="K211" s="12" t="s">
        <v>76</v>
      </c>
      <c r="L211" s="12" t="s">
        <v>33</v>
      </c>
      <c r="M211" s="12" t="s">
        <v>37</v>
      </c>
      <c r="N211" s="12" t="s">
        <v>105</v>
      </c>
      <c r="O211" s="12" t="s">
        <v>36</v>
      </c>
      <c r="P211" s="12" t="s">
        <v>36</v>
      </c>
      <c r="Q211" s="12" t="s">
        <v>36</v>
      </c>
      <c r="R211" s="11"/>
      <c r="S211" s="11" t="s">
        <v>314</v>
      </c>
      <c r="T211" s="11" t="s">
        <v>318</v>
      </c>
      <c r="U211" s="11" t="s">
        <v>382</v>
      </c>
      <c r="V211" s="12"/>
      <c r="W211" s="12" t="s">
        <v>46</v>
      </c>
      <c r="X211" s="12"/>
      <c r="Y211" s="11" t="str">
        <f>HYPERLINK("https://www.stromypodkontrolou.cz/map/tree/d41bce85-5010-4276-b929-4760db78c679/5d6efbb2-623a-4d04-930d-7cf21d956b07")</f>
        <v>https://www.stromypodkontrolou.cz/map/tree/d41bce85-5010-4276-b929-4760db78c679/5d6efbb2-623a-4d04-930d-7cf21d956b07</v>
      </c>
      <c r="Z211" s="11">
        <v>-750391.55036600004</v>
      </c>
      <c r="AA211" s="11">
        <v>-994769.45933400001</v>
      </c>
      <c r="AB211" s="11" t="str">
        <f>HYPERLINK("https://www.mapy.cz?st=search&amp;fr=50.50769856 14.22265303")</f>
        <v>https://www.mapy.cz?st=search&amp;fr=50.50769856 14.22265303</v>
      </c>
      <c r="AC211" s="6">
        <f t="shared" ref="AC211:AC212" si="46">(J211-K211)*L211</f>
        <v>88</v>
      </c>
      <c r="AD211" s="6" t="s">
        <v>870</v>
      </c>
      <c r="AE211" s="37"/>
    </row>
    <row r="212" spans="1:31" ht="35.1" customHeight="1" x14ac:dyDescent="0.2">
      <c r="A212" s="26" t="s">
        <v>317</v>
      </c>
      <c r="B212" s="12">
        <v>10590</v>
      </c>
      <c r="C212" s="13" t="s">
        <v>682</v>
      </c>
      <c r="D212" s="14" t="s">
        <v>28</v>
      </c>
      <c r="E212" s="11" t="s">
        <v>29</v>
      </c>
      <c r="F212" s="12" t="s">
        <v>130</v>
      </c>
      <c r="G212" s="12"/>
      <c r="H212" s="12"/>
      <c r="I212" s="12"/>
      <c r="J212" s="12" t="s">
        <v>72</v>
      </c>
      <c r="K212" s="12" t="s">
        <v>76</v>
      </c>
      <c r="L212" s="12" t="s">
        <v>50</v>
      </c>
      <c r="M212" s="12" t="s">
        <v>37</v>
      </c>
      <c r="N212" s="12" t="s">
        <v>45</v>
      </c>
      <c r="O212" s="12" t="s">
        <v>36</v>
      </c>
      <c r="P212" s="12" t="s">
        <v>36</v>
      </c>
      <c r="Q212" s="12" t="s">
        <v>37</v>
      </c>
      <c r="R212" s="11" t="s">
        <v>443</v>
      </c>
      <c r="S212" s="11" t="s">
        <v>314</v>
      </c>
      <c r="T212" s="11" t="s">
        <v>318</v>
      </c>
      <c r="U212" s="11" t="s">
        <v>382</v>
      </c>
      <c r="V212" s="12" t="s">
        <v>95</v>
      </c>
      <c r="W212" s="12" t="s">
        <v>46</v>
      </c>
      <c r="X212" s="12"/>
      <c r="Y212" s="11" t="str">
        <f>HYPERLINK("https://www.stromypodkontrolou.cz/map/tree/d41bce85-5010-4276-b929-4760db78c679/ae012a12-52dc-4e01-ad52-1e5af50d3dfa")</f>
        <v>https://www.stromypodkontrolou.cz/map/tree/d41bce85-5010-4276-b929-4760db78c679/ae012a12-52dc-4e01-ad52-1e5af50d3dfa</v>
      </c>
      <c r="Z212" s="11">
        <v>-750391.25775400002</v>
      </c>
      <c r="AA212" s="11">
        <v>-994776.44587000005</v>
      </c>
      <c r="AB212" s="11" t="str">
        <f>HYPERLINK("https://www.mapy.cz?st=search&amp;fr=50.50763673 14.22267080")</f>
        <v>https://www.mapy.cz?st=search&amp;fr=50.50763673 14.22267080</v>
      </c>
      <c r="AC212" s="6">
        <f t="shared" si="46"/>
        <v>77</v>
      </c>
      <c r="AD212" s="6" t="s">
        <v>870</v>
      </c>
      <c r="AE212" s="37"/>
    </row>
    <row r="213" spans="1:31" ht="34.5" customHeight="1" x14ac:dyDescent="0.2">
      <c r="A213" s="26" t="s">
        <v>317</v>
      </c>
      <c r="B213" s="12">
        <v>10594</v>
      </c>
      <c r="C213" s="13" t="s">
        <v>683</v>
      </c>
      <c r="D213" s="14" t="s">
        <v>28</v>
      </c>
      <c r="E213" s="11" t="s">
        <v>29</v>
      </c>
      <c r="F213" s="12" t="s">
        <v>64</v>
      </c>
      <c r="G213" s="12" t="s">
        <v>100</v>
      </c>
      <c r="H213" s="12"/>
      <c r="I213" s="12"/>
      <c r="J213" s="12" t="s">
        <v>56</v>
      </c>
      <c r="K213" s="12" t="s">
        <v>76</v>
      </c>
      <c r="L213" s="12" t="s">
        <v>49</v>
      </c>
      <c r="M213" s="12" t="s">
        <v>37</v>
      </c>
      <c r="N213" s="12" t="s">
        <v>105</v>
      </c>
      <c r="O213" s="12" t="s">
        <v>36</v>
      </c>
      <c r="P213" s="12" t="s">
        <v>36</v>
      </c>
      <c r="Q213" s="12" t="s">
        <v>36</v>
      </c>
      <c r="R213" s="11"/>
      <c r="S213" s="11" t="s">
        <v>314</v>
      </c>
      <c r="T213" s="11" t="s">
        <v>319</v>
      </c>
      <c r="U213" s="11" t="s">
        <v>382</v>
      </c>
      <c r="V213" s="12" t="s">
        <v>95</v>
      </c>
      <c r="W213" s="12" t="s">
        <v>46</v>
      </c>
      <c r="X213" s="12"/>
      <c r="Y213" s="11" t="str">
        <f>HYPERLINK("https://www.stromypodkontrolou.cz/map/tree/d41bce85-5010-4276-b929-4760db78c679/20b13965-25a8-42ac-9bcb-ce0995b65646")</f>
        <v>https://www.stromypodkontrolou.cz/map/tree/d41bce85-5010-4276-b929-4760db78c679/20b13965-25a8-42ac-9bcb-ce0995b65646</v>
      </c>
      <c r="Z213" s="11">
        <v>-750391.85272199998</v>
      </c>
      <c r="AA213" s="11">
        <v>-994792.83999100002</v>
      </c>
      <c r="AB213" s="11" t="str">
        <f>HYPERLINK("https://www.mapy.cz?st=search&amp;fr=50.50749003 14.22269460")</f>
        <v>https://www.mapy.cz?st=search&amp;fr=50.50749003 14.22269460</v>
      </c>
      <c r="AC213" s="6">
        <f>(J213-K213)*L213</f>
        <v>108</v>
      </c>
      <c r="AD213" s="6" t="s">
        <v>870</v>
      </c>
      <c r="AE213" s="37"/>
    </row>
    <row r="214" spans="1:31" ht="35.1" customHeight="1" x14ac:dyDescent="0.2">
      <c r="A214" s="26" t="s">
        <v>317</v>
      </c>
      <c r="B214" s="12">
        <v>10600</v>
      </c>
      <c r="C214" s="13" t="s">
        <v>684</v>
      </c>
      <c r="D214" s="14" t="s">
        <v>148</v>
      </c>
      <c r="E214" s="11" t="s">
        <v>149</v>
      </c>
      <c r="F214" s="12" t="s">
        <v>85</v>
      </c>
      <c r="G214" s="12"/>
      <c r="H214" s="12"/>
      <c r="I214" s="12"/>
      <c r="J214" s="12" t="s">
        <v>51</v>
      </c>
      <c r="K214" s="12" t="s">
        <v>61</v>
      </c>
      <c r="L214" s="12" t="s">
        <v>44</v>
      </c>
      <c r="M214" s="12" t="s">
        <v>37</v>
      </c>
      <c r="N214" s="12" t="s">
        <v>105</v>
      </c>
      <c r="O214" s="12" t="s">
        <v>46</v>
      </c>
      <c r="P214" s="12" t="s">
        <v>46</v>
      </c>
      <c r="Q214" s="12" t="s">
        <v>36</v>
      </c>
      <c r="R214" s="11"/>
      <c r="S214" s="11" t="s">
        <v>314</v>
      </c>
      <c r="T214" s="11" t="s">
        <v>316</v>
      </c>
      <c r="U214" s="11" t="s">
        <v>378</v>
      </c>
      <c r="V214" s="12" t="s">
        <v>95</v>
      </c>
      <c r="W214" s="12" t="s">
        <v>46</v>
      </c>
      <c r="X214" s="12"/>
      <c r="Y214" s="11" t="str">
        <f>HYPERLINK("https://www.stromypodkontrolou.cz/map/tree/d41bce85-5010-4276-b929-4760db78c679/87ab566b-a0b1-42e2-b661-fb27acce396a")</f>
        <v>https://www.stromypodkontrolou.cz/map/tree/d41bce85-5010-4276-b929-4760db78c679/87ab566b-a0b1-42e2-b661-fb27acce396a</v>
      </c>
      <c r="Z214" s="11">
        <v>-750394.932394</v>
      </c>
      <c r="AA214" s="11">
        <v>-994716.36710499995</v>
      </c>
      <c r="AB214" s="11" t="str">
        <f>HYPERLINK("https://www.mapy.cz?st=search&amp;fr=50.50816702 14.22250182")</f>
        <v>https://www.mapy.cz?st=search&amp;fr=50.50816702 14.22250182</v>
      </c>
      <c r="AC214" s="6">
        <f t="shared" ref="AC214:AC221" si="47">(J214-K214)*L214</f>
        <v>36</v>
      </c>
      <c r="AD214" s="6" t="s">
        <v>866</v>
      </c>
      <c r="AE214" s="37"/>
    </row>
    <row r="215" spans="1:31" ht="35.1" customHeight="1" x14ac:dyDescent="0.2">
      <c r="A215" s="26" t="s">
        <v>320</v>
      </c>
      <c r="B215" s="12">
        <v>15968</v>
      </c>
      <c r="C215" s="13" t="s">
        <v>685</v>
      </c>
      <c r="D215" s="14" t="s">
        <v>62</v>
      </c>
      <c r="E215" s="11" t="s">
        <v>63</v>
      </c>
      <c r="F215" s="12" t="s">
        <v>220</v>
      </c>
      <c r="G215" s="12"/>
      <c r="H215" s="12"/>
      <c r="I215" s="12"/>
      <c r="J215" s="12" t="s">
        <v>66</v>
      </c>
      <c r="K215" s="12" t="s">
        <v>32</v>
      </c>
      <c r="L215" s="12" t="s">
        <v>136</v>
      </c>
      <c r="M215" s="12" t="s">
        <v>34</v>
      </c>
      <c r="N215" s="12" t="s">
        <v>45</v>
      </c>
      <c r="O215" s="12" t="s">
        <v>46</v>
      </c>
      <c r="P215" s="12" t="s">
        <v>37</v>
      </c>
      <c r="Q215" s="12" t="s">
        <v>37</v>
      </c>
      <c r="R215" s="11" t="s">
        <v>686</v>
      </c>
      <c r="S215" s="11" t="s">
        <v>321</v>
      </c>
      <c r="T215" s="11" t="s">
        <v>322</v>
      </c>
      <c r="U215" s="11" t="s">
        <v>384</v>
      </c>
      <c r="V215" s="12" t="s">
        <v>95</v>
      </c>
      <c r="W215" s="12" t="s">
        <v>46</v>
      </c>
      <c r="X215" s="12" t="s">
        <v>388</v>
      </c>
      <c r="Y215" s="11" t="str">
        <f>HYPERLINK("https://www.stromypodkontrolou.cz/map/tree/d41bce85-5010-4276-b929-4760db78c679/b47ade64-47ce-4b6c-9c8f-4de8f6e016ef")</f>
        <v>https://www.stromypodkontrolou.cz/map/tree/d41bce85-5010-4276-b929-4760db78c679/b47ade64-47ce-4b6c-9c8f-4de8f6e016ef</v>
      </c>
      <c r="Z215" s="11">
        <v>-750164.82403400005</v>
      </c>
      <c r="AA215" s="11">
        <v>-995166.72681999998</v>
      </c>
      <c r="AB215" s="11" t="str">
        <f>HYPERLINK("https://www.mapy.cz?st=search&amp;fr=50.50444481 14.22659621")</f>
        <v>https://www.mapy.cz?st=search&amp;fr=50.50444481 14.22659621</v>
      </c>
      <c r="AC215" s="6">
        <f t="shared" si="47"/>
        <v>154</v>
      </c>
      <c r="AD215" s="6" t="s">
        <v>865</v>
      </c>
      <c r="AE215" s="37"/>
    </row>
    <row r="216" spans="1:31" ht="35.1" customHeight="1" x14ac:dyDescent="0.2">
      <c r="A216" s="47" t="s">
        <v>320</v>
      </c>
      <c r="B216" s="46">
        <v>15970</v>
      </c>
      <c r="C216" s="48" t="s">
        <v>687</v>
      </c>
      <c r="D216" s="49" t="s">
        <v>28</v>
      </c>
      <c r="E216" s="45" t="s">
        <v>29</v>
      </c>
      <c r="F216" s="46" t="s">
        <v>573</v>
      </c>
      <c r="G216" s="46"/>
      <c r="H216" s="46"/>
      <c r="I216" s="46"/>
      <c r="J216" s="46" t="s">
        <v>154</v>
      </c>
      <c r="K216" s="46" t="s">
        <v>103</v>
      </c>
      <c r="L216" s="46" t="s">
        <v>104</v>
      </c>
      <c r="M216" s="46" t="s">
        <v>34</v>
      </c>
      <c r="N216" s="46" t="s">
        <v>45</v>
      </c>
      <c r="O216" s="46" t="s">
        <v>46</v>
      </c>
      <c r="P216" s="46" t="s">
        <v>36</v>
      </c>
      <c r="Q216" s="46" t="s">
        <v>37</v>
      </c>
      <c r="R216" s="45" t="s">
        <v>688</v>
      </c>
      <c r="S216" s="45" t="s">
        <v>321</v>
      </c>
      <c r="T216" s="45" t="s">
        <v>322</v>
      </c>
      <c r="U216" s="11" t="s">
        <v>384</v>
      </c>
      <c r="V216" s="12" t="s">
        <v>95</v>
      </c>
      <c r="W216" s="12" t="s">
        <v>46</v>
      </c>
      <c r="X216" s="12" t="s">
        <v>422</v>
      </c>
      <c r="Y216" s="45" t="str">
        <f>HYPERLINK("https://www.stromypodkontrolou.cz/map/tree/d41bce85-5010-4276-b929-4760db78c679/f37143de-3773-4592-8dbf-a5f72f4c68bc")</f>
        <v>https://www.stromypodkontrolou.cz/map/tree/d41bce85-5010-4276-b929-4760db78c679/f37143de-3773-4592-8dbf-a5f72f4c68bc</v>
      </c>
      <c r="Z216" s="45">
        <v>-750164.12389100005</v>
      </c>
      <c r="AA216" s="45">
        <v>-995181.77069200005</v>
      </c>
      <c r="AB216" s="45" t="str">
        <f>HYPERLINK("https://www.mapy.cz?st=search&amp;fr=50.50431175 14.22663544")</f>
        <v>https://www.mapy.cz?st=search&amp;fr=50.50431175 14.22663544</v>
      </c>
      <c r="AC216" s="6">
        <f t="shared" si="47"/>
        <v>264</v>
      </c>
      <c r="AD216" s="6" t="s">
        <v>879</v>
      </c>
      <c r="AE216" s="37"/>
    </row>
    <row r="217" spans="1:31" ht="35.1" customHeight="1" x14ac:dyDescent="0.2">
      <c r="A217" s="47"/>
      <c r="B217" s="46"/>
      <c r="C217" s="48"/>
      <c r="D217" s="49"/>
      <c r="E217" s="45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5"/>
      <c r="S217" s="45"/>
      <c r="T217" s="45"/>
      <c r="U217" s="11" t="s">
        <v>382</v>
      </c>
      <c r="V217" s="12" t="s">
        <v>95</v>
      </c>
      <c r="W217" s="12" t="s">
        <v>46</v>
      </c>
      <c r="X217" s="12"/>
      <c r="Y217" s="45"/>
      <c r="Z217" s="45"/>
      <c r="AA217" s="45"/>
      <c r="AB217" s="45"/>
      <c r="AC217" s="6">
        <f t="shared" si="47"/>
        <v>0</v>
      </c>
      <c r="AD217" s="6" t="s">
        <v>875</v>
      </c>
      <c r="AE217" s="37"/>
    </row>
    <row r="218" spans="1:31" ht="35.1" customHeight="1" x14ac:dyDescent="0.2">
      <c r="A218" s="47" t="s">
        <v>320</v>
      </c>
      <c r="B218" s="46">
        <v>15979</v>
      </c>
      <c r="C218" s="48" t="s">
        <v>689</v>
      </c>
      <c r="D218" s="49" t="s">
        <v>28</v>
      </c>
      <c r="E218" s="45" t="s">
        <v>29</v>
      </c>
      <c r="F218" s="46" t="s">
        <v>690</v>
      </c>
      <c r="G218" s="46" t="s">
        <v>325</v>
      </c>
      <c r="H218" s="46"/>
      <c r="I218" s="46"/>
      <c r="J218" s="46" t="s">
        <v>161</v>
      </c>
      <c r="K218" s="46" t="s">
        <v>32</v>
      </c>
      <c r="L218" s="46" t="s">
        <v>140</v>
      </c>
      <c r="M218" s="46" t="s">
        <v>95</v>
      </c>
      <c r="N218" s="46" t="s">
        <v>105</v>
      </c>
      <c r="O218" s="46" t="s">
        <v>36</v>
      </c>
      <c r="P218" s="46" t="s">
        <v>36</v>
      </c>
      <c r="Q218" s="46" t="s">
        <v>37</v>
      </c>
      <c r="R218" s="45" t="s">
        <v>691</v>
      </c>
      <c r="S218" s="45" t="s">
        <v>323</v>
      </c>
      <c r="T218" s="45" t="s">
        <v>324</v>
      </c>
      <c r="U218" s="11" t="s">
        <v>382</v>
      </c>
      <c r="V218" s="12" t="s">
        <v>95</v>
      </c>
      <c r="W218" s="12" t="s">
        <v>46</v>
      </c>
      <c r="X218" s="12"/>
      <c r="Y218" s="45" t="str">
        <f>HYPERLINK("https://www.stromypodkontrolou.cz/map/tree/d41bce85-5010-4276-b929-4760db78c679/7b3d97de-a1f8-4f91-a494-173908bd44a2")</f>
        <v>https://www.stromypodkontrolou.cz/map/tree/d41bce85-5010-4276-b929-4760db78c679/7b3d97de-a1f8-4f91-a494-173908bd44a2</v>
      </c>
      <c r="Z218" s="45">
        <v>-749932.63989899994</v>
      </c>
      <c r="AA218" s="45">
        <v>-996626.31663100002</v>
      </c>
      <c r="AB218" s="45" t="str">
        <f>HYPERLINK("https://www.mapy.cz?st=search&amp;fr=50.49173965 14.23269354")</f>
        <v>https://www.mapy.cz?st=search&amp;fr=50.49173965 14.23269354</v>
      </c>
      <c r="AC218" s="6">
        <f t="shared" si="47"/>
        <v>456</v>
      </c>
      <c r="AD218" s="6" t="s">
        <v>877</v>
      </c>
      <c r="AE218" s="37"/>
    </row>
    <row r="219" spans="1:31" ht="35.1" customHeight="1" x14ac:dyDescent="0.2">
      <c r="A219" s="47"/>
      <c r="B219" s="46"/>
      <c r="C219" s="48"/>
      <c r="D219" s="49"/>
      <c r="E219" s="45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5"/>
      <c r="S219" s="45"/>
      <c r="T219" s="45"/>
      <c r="U219" s="11" t="s">
        <v>380</v>
      </c>
      <c r="V219" s="12" t="s">
        <v>95</v>
      </c>
      <c r="W219" s="12" t="s">
        <v>46</v>
      </c>
      <c r="X219" s="12" t="s">
        <v>692</v>
      </c>
      <c r="Y219" s="45"/>
      <c r="Z219" s="45"/>
      <c r="AA219" s="45"/>
      <c r="AB219" s="45"/>
      <c r="AC219" s="6">
        <f t="shared" si="47"/>
        <v>0</v>
      </c>
      <c r="AD219" s="6" t="s">
        <v>871</v>
      </c>
      <c r="AE219" s="37"/>
    </row>
    <row r="220" spans="1:31" ht="35.1" customHeight="1" x14ac:dyDescent="0.2">
      <c r="A220" s="47" t="s">
        <v>320</v>
      </c>
      <c r="B220" s="46">
        <v>15984</v>
      </c>
      <c r="C220" s="48" t="s">
        <v>693</v>
      </c>
      <c r="D220" s="49" t="s">
        <v>28</v>
      </c>
      <c r="E220" s="45" t="s">
        <v>29</v>
      </c>
      <c r="F220" s="46" t="s">
        <v>520</v>
      </c>
      <c r="G220" s="46"/>
      <c r="H220" s="46"/>
      <c r="I220" s="46"/>
      <c r="J220" s="46" t="s">
        <v>161</v>
      </c>
      <c r="K220" s="46" t="s">
        <v>113</v>
      </c>
      <c r="L220" s="46" t="s">
        <v>41</v>
      </c>
      <c r="M220" s="46" t="s">
        <v>34</v>
      </c>
      <c r="N220" s="46" t="s">
        <v>105</v>
      </c>
      <c r="O220" s="46" t="s">
        <v>36</v>
      </c>
      <c r="P220" s="46" t="s">
        <v>36</v>
      </c>
      <c r="Q220" s="46" t="s">
        <v>37</v>
      </c>
      <c r="R220" s="45" t="s">
        <v>452</v>
      </c>
      <c r="S220" s="45" t="s">
        <v>323</v>
      </c>
      <c r="T220" s="45" t="s">
        <v>324</v>
      </c>
      <c r="U220" s="11" t="s">
        <v>382</v>
      </c>
      <c r="V220" s="12" t="s">
        <v>95</v>
      </c>
      <c r="W220" s="12" t="s">
        <v>46</v>
      </c>
      <c r="X220" s="12"/>
      <c r="Y220" s="45" t="str">
        <f>HYPERLINK("https://www.stromypodkontrolou.cz/map/tree/d41bce85-5010-4276-b929-4760db78c679/2a9b207a-7bec-4c33-98f2-180cf071f877")</f>
        <v>https://www.stromypodkontrolou.cz/map/tree/d41bce85-5010-4276-b929-4760db78c679/2a9b207a-7bec-4c33-98f2-180cf071f877</v>
      </c>
      <c r="Z220" s="45">
        <v>-749946.55375600001</v>
      </c>
      <c r="AA220" s="45">
        <v>-996572.01958399999</v>
      </c>
      <c r="AB220" s="45" t="str">
        <f>HYPERLINK("https://www.mapy.cz?st=search&amp;fr=50.49220570 14.23239313")</f>
        <v>https://www.mapy.cz?st=search&amp;fr=50.49220570 14.23239313</v>
      </c>
      <c r="AC220" s="6">
        <f t="shared" si="47"/>
        <v>368</v>
      </c>
      <c r="AD220" s="6" t="s">
        <v>875</v>
      </c>
      <c r="AE220" s="37"/>
    </row>
    <row r="221" spans="1:31" ht="35.1" customHeight="1" x14ac:dyDescent="0.2">
      <c r="A221" s="47"/>
      <c r="B221" s="46"/>
      <c r="C221" s="48"/>
      <c r="D221" s="49"/>
      <c r="E221" s="45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5"/>
      <c r="S221" s="45"/>
      <c r="T221" s="45"/>
      <c r="U221" s="11" t="s">
        <v>380</v>
      </c>
      <c r="V221" s="12" t="s">
        <v>95</v>
      </c>
      <c r="W221" s="12" t="s">
        <v>46</v>
      </c>
      <c r="X221" s="12" t="s">
        <v>694</v>
      </c>
      <c r="Y221" s="45"/>
      <c r="Z221" s="45"/>
      <c r="AA221" s="45"/>
      <c r="AB221" s="45"/>
      <c r="AC221" s="6">
        <f t="shared" si="47"/>
        <v>0</v>
      </c>
      <c r="AD221" s="6" t="s">
        <v>871</v>
      </c>
      <c r="AE221" s="37"/>
    </row>
    <row r="222" spans="1:31" ht="35.1" customHeight="1" x14ac:dyDescent="0.2">
      <c r="A222" s="47" t="s">
        <v>320</v>
      </c>
      <c r="B222" s="46">
        <v>15995</v>
      </c>
      <c r="C222" s="48" t="s">
        <v>695</v>
      </c>
      <c r="D222" s="49" t="s">
        <v>28</v>
      </c>
      <c r="E222" s="45" t="s">
        <v>29</v>
      </c>
      <c r="F222" s="46" t="s">
        <v>151</v>
      </c>
      <c r="G222" s="46" t="s">
        <v>164</v>
      </c>
      <c r="H222" s="46"/>
      <c r="I222" s="46"/>
      <c r="J222" s="46" t="s">
        <v>168</v>
      </c>
      <c r="K222" s="46" t="s">
        <v>113</v>
      </c>
      <c r="L222" s="46" t="s">
        <v>48</v>
      </c>
      <c r="M222" s="46" t="s">
        <v>34</v>
      </c>
      <c r="N222" s="46" t="s">
        <v>105</v>
      </c>
      <c r="O222" s="46" t="s">
        <v>36</v>
      </c>
      <c r="P222" s="46" t="s">
        <v>36</v>
      </c>
      <c r="Q222" s="46" t="s">
        <v>37</v>
      </c>
      <c r="R222" s="45" t="s">
        <v>696</v>
      </c>
      <c r="S222" s="45" t="s">
        <v>321</v>
      </c>
      <c r="T222" s="45" t="s">
        <v>327</v>
      </c>
      <c r="U222" s="11" t="s">
        <v>380</v>
      </c>
      <c r="V222" s="12" t="s">
        <v>95</v>
      </c>
      <c r="W222" s="12" t="s">
        <v>46</v>
      </c>
      <c r="X222" s="12" t="s">
        <v>694</v>
      </c>
      <c r="Y222" s="45" t="str">
        <f>HYPERLINK("https://www.stromypodkontrolou.cz/map/tree/d41bce85-5010-4276-b929-4760db78c679/8a6375a2-5c89-4a97-bd48-2ad187490121")</f>
        <v>https://www.stromypodkontrolou.cz/map/tree/d41bce85-5010-4276-b929-4760db78c679/8a6375a2-5c89-4a97-bd48-2ad187490121</v>
      </c>
      <c r="Z222" s="45">
        <v>-749969.44357999996</v>
      </c>
      <c r="AA222" s="45">
        <v>-996499.67093599995</v>
      </c>
      <c r="AB222" s="45" t="str">
        <f>HYPERLINK("https://www.mapy.cz?st=search&amp;fr=50.49282127 14.23193213")</f>
        <v>https://www.mapy.cz?st=search&amp;fr=50.49282127 14.23193213</v>
      </c>
      <c r="AC222" s="6">
        <f t="shared" ref="AC222:AC223" si="48">(J222-K222)*L222</f>
        <v>190</v>
      </c>
      <c r="AD222" s="6" t="s">
        <v>869</v>
      </c>
      <c r="AE222" s="37"/>
    </row>
    <row r="223" spans="1:31" ht="35.1" customHeight="1" x14ac:dyDescent="0.2">
      <c r="A223" s="47"/>
      <c r="B223" s="46"/>
      <c r="C223" s="48"/>
      <c r="D223" s="49"/>
      <c r="E223" s="45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5"/>
      <c r="S223" s="45"/>
      <c r="T223" s="45"/>
      <c r="U223" s="11" t="s">
        <v>382</v>
      </c>
      <c r="V223" s="12" t="s">
        <v>95</v>
      </c>
      <c r="W223" s="12" t="s">
        <v>46</v>
      </c>
      <c r="X223" s="12"/>
      <c r="Y223" s="45"/>
      <c r="Z223" s="45"/>
      <c r="AA223" s="45"/>
      <c r="AB223" s="45"/>
      <c r="AC223" s="6">
        <f t="shared" si="48"/>
        <v>0</v>
      </c>
      <c r="AD223" s="6" t="s">
        <v>870</v>
      </c>
      <c r="AE223" s="37"/>
    </row>
    <row r="224" spans="1:31" ht="35.1" customHeight="1" x14ac:dyDescent="0.2">
      <c r="A224" s="47" t="s">
        <v>320</v>
      </c>
      <c r="B224" s="46">
        <v>16027</v>
      </c>
      <c r="C224" s="48" t="s">
        <v>697</v>
      </c>
      <c r="D224" s="49" t="s">
        <v>28</v>
      </c>
      <c r="E224" s="45" t="s">
        <v>29</v>
      </c>
      <c r="F224" s="46" t="s">
        <v>263</v>
      </c>
      <c r="G224" s="46"/>
      <c r="H224" s="46"/>
      <c r="I224" s="46"/>
      <c r="J224" s="46" t="s">
        <v>31</v>
      </c>
      <c r="K224" s="46" t="s">
        <v>51</v>
      </c>
      <c r="L224" s="46" t="s">
        <v>47</v>
      </c>
      <c r="M224" s="46" t="s">
        <v>34</v>
      </c>
      <c r="N224" s="46" t="s">
        <v>105</v>
      </c>
      <c r="O224" s="46" t="s">
        <v>36</v>
      </c>
      <c r="P224" s="46" t="s">
        <v>36</v>
      </c>
      <c r="Q224" s="46" t="s">
        <v>36</v>
      </c>
      <c r="R224" s="45" t="s">
        <v>452</v>
      </c>
      <c r="S224" s="45" t="s">
        <v>321</v>
      </c>
      <c r="T224" s="45" t="s">
        <v>328</v>
      </c>
      <c r="U224" s="11" t="s">
        <v>382</v>
      </c>
      <c r="V224" s="12" t="s">
        <v>95</v>
      </c>
      <c r="W224" s="12" t="s">
        <v>46</v>
      </c>
      <c r="X224" s="12"/>
      <c r="Y224" s="45" t="str">
        <f>HYPERLINK("https://www.stromypodkontrolou.cz/map/tree/d41bce85-5010-4276-b929-4760db78c679/cc229956-189c-4ace-a4a1-7789e93c3221")</f>
        <v>https://www.stromypodkontrolou.cz/map/tree/d41bce85-5010-4276-b929-4760db78c679/cc229956-189c-4ace-a4a1-7789e93c3221</v>
      </c>
      <c r="Z224" s="45">
        <v>-750050.10525699996</v>
      </c>
      <c r="AA224" s="45">
        <v>-996210.56531700003</v>
      </c>
      <c r="AB224" s="45" t="str">
        <f>HYPERLINK("https://www.mapy.cz?st=search&amp;fr=50.49529457 14.23024066")</f>
        <v>https://www.mapy.cz?st=search&amp;fr=50.49529457 14.23024066</v>
      </c>
      <c r="AC224" s="6">
        <f t="shared" ref="AC224:AC226" si="49">(J224-K224)*L224</f>
        <v>204</v>
      </c>
      <c r="AD224" s="6" t="s">
        <v>870</v>
      </c>
      <c r="AE224" s="37"/>
    </row>
    <row r="225" spans="1:31" ht="35.1" customHeight="1" x14ac:dyDescent="0.2">
      <c r="A225" s="47"/>
      <c r="B225" s="46"/>
      <c r="C225" s="48"/>
      <c r="D225" s="49"/>
      <c r="E225" s="45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5"/>
      <c r="S225" s="45"/>
      <c r="T225" s="45"/>
      <c r="U225" s="11" t="s">
        <v>380</v>
      </c>
      <c r="V225" s="12" t="s">
        <v>95</v>
      </c>
      <c r="W225" s="12" t="s">
        <v>46</v>
      </c>
      <c r="X225" s="12" t="s">
        <v>407</v>
      </c>
      <c r="Y225" s="45"/>
      <c r="Z225" s="45"/>
      <c r="AA225" s="45"/>
      <c r="AB225" s="45"/>
      <c r="AC225" s="6">
        <f t="shared" si="49"/>
        <v>0</v>
      </c>
      <c r="AD225" s="6" t="s">
        <v>871</v>
      </c>
      <c r="AE225" s="37"/>
    </row>
    <row r="226" spans="1:31" ht="34.5" customHeight="1" x14ac:dyDescent="0.2">
      <c r="A226" s="26" t="s">
        <v>320</v>
      </c>
      <c r="B226" s="12">
        <v>16029</v>
      </c>
      <c r="C226" s="13" t="s">
        <v>698</v>
      </c>
      <c r="D226" s="14" t="s">
        <v>28</v>
      </c>
      <c r="E226" s="11" t="s">
        <v>29</v>
      </c>
      <c r="F226" s="12" t="s">
        <v>157</v>
      </c>
      <c r="G226" s="12" t="s">
        <v>93</v>
      </c>
      <c r="H226" s="12"/>
      <c r="I226" s="12"/>
      <c r="J226" s="12" t="s">
        <v>168</v>
      </c>
      <c r="K226" s="12" t="s">
        <v>76</v>
      </c>
      <c r="L226" s="12" t="s">
        <v>48</v>
      </c>
      <c r="M226" s="12" t="s">
        <v>34</v>
      </c>
      <c r="N226" s="12" t="s">
        <v>105</v>
      </c>
      <c r="O226" s="12" t="s">
        <v>36</v>
      </c>
      <c r="P226" s="12" t="s">
        <v>36</v>
      </c>
      <c r="Q226" s="12" t="s">
        <v>36</v>
      </c>
      <c r="R226" s="11" t="s">
        <v>452</v>
      </c>
      <c r="S226" s="11" t="s">
        <v>321</v>
      </c>
      <c r="T226" s="11" t="s">
        <v>328</v>
      </c>
      <c r="U226" s="11" t="s">
        <v>382</v>
      </c>
      <c r="V226" s="12" t="s">
        <v>95</v>
      </c>
      <c r="W226" s="12" t="s">
        <v>46</v>
      </c>
      <c r="X226" s="12"/>
      <c r="Y226" s="11" t="str">
        <f>HYPERLINK("https://www.stromypodkontrolou.cz/map/tree/d41bce85-5010-4276-b929-4760db78c679/c8450514-f7f9-4ea3-8426-28195ed3ceba")</f>
        <v>https://www.stromypodkontrolou.cz/map/tree/d41bce85-5010-4276-b929-4760db78c679/c8450514-f7f9-4ea3-8426-28195ed3ceba</v>
      </c>
      <c r="Z226" s="11">
        <v>-750050.05895400001</v>
      </c>
      <c r="AA226" s="11">
        <v>-996203.55276400002</v>
      </c>
      <c r="AB226" s="11" t="str">
        <f>HYPERLINK("https://www.mapy.cz?st=search&amp;fr=50.49535706 14.23022758")</f>
        <v>https://www.mapy.cz?st=search&amp;fr=50.49535706 14.23022758</v>
      </c>
      <c r="AC226" s="6">
        <f t="shared" si="49"/>
        <v>180</v>
      </c>
      <c r="AD226" s="6" t="s">
        <v>870</v>
      </c>
      <c r="AE226" s="37"/>
    </row>
    <row r="227" spans="1:31" ht="35.1" customHeight="1" x14ac:dyDescent="0.2">
      <c r="A227" s="47" t="s">
        <v>320</v>
      </c>
      <c r="B227" s="46">
        <v>16049</v>
      </c>
      <c r="C227" s="48" t="s">
        <v>699</v>
      </c>
      <c r="D227" s="49" t="s">
        <v>28</v>
      </c>
      <c r="E227" s="45" t="s">
        <v>29</v>
      </c>
      <c r="F227" s="46" t="s">
        <v>532</v>
      </c>
      <c r="G227" s="46"/>
      <c r="H227" s="46"/>
      <c r="I227" s="46"/>
      <c r="J227" s="46" t="s">
        <v>31</v>
      </c>
      <c r="K227" s="46" t="s">
        <v>99</v>
      </c>
      <c r="L227" s="46" t="s">
        <v>94</v>
      </c>
      <c r="M227" s="46" t="s">
        <v>95</v>
      </c>
      <c r="N227" s="46" t="s">
        <v>105</v>
      </c>
      <c r="O227" s="46" t="s">
        <v>36</v>
      </c>
      <c r="P227" s="46" t="s">
        <v>36</v>
      </c>
      <c r="Q227" s="46" t="s">
        <v>37</v>
      </c>
      <c r="R227" s="45" t="s">
        <v>700</v>
      </c>
      <c r="S227" s="45" t="s">
        <v>321</v>
      </c>
      <c r="T227" s="45" t="s">
        <v>331</v>
      </c>
      <c r="U227" s="11" t="s">
        <v>382</v>
      </c>
      <c r="V227" s="12" t="s">
        <v>95</v>
      </c>
      <c r="W227" s="12" t="s">
        <v>46</v>
      </c>
      <c r="X227" s="12"/>
      <c r="Y227" s="45" t="str">
        <f>HYPERLINK("https://www.stromypodkontrolou.cz/map/tree/d41bce85-5010-4276-b929-4760db78c679/3e4fcfe3-85d6-4175-9eb7-7f6cefb69caf")</f>
        <v>https://www.stromypodkontrolou.cz/map/tree/d41bce85-5010-4276-b929-4760db78c679/3e4fcfe3-85d6-4175-9eb7-7f6cefb69caf</v>
      </c>
      <c r="Z227" s="45">
        <v>-750094.20552199997</v>
      </c>
      <c r="AA227" s="45">
        <v>-995940.37169599999</v>
      </c>
      <c r="AB227" s="45" t="str">
        <f>HYPERLINK("https://www.mapy.cz?st=search&amp;fr=50.49764510 14.22909636")</f>
        <v>https://www.mapy.cz?st=search&amp;fr=50.49764510 14.22909636</v>
      </c>
      <c r="AC227" s="6">
        <f t="shared" ref="AC227:AC236" si="50">(J227-K227)*L227</f>
        <v>195</v>
      </c>
      <c r="AD227" s="6" t="s">
        <v>870</v>
      </c>
      <c r="AE227" s="37"/>
    </row>
    <row r="228" spans="1:31" ht="35.1" customHeight="1" x14ac:dyDescent="0.2">
      <c r="A228" s="47"/>
      <c r="B228" s="46"/>
      <c r="C228" s="48"/>
      <c r="D228" s="49"/>
      <c r="E228" s="45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5"/>
      <c r="S228" s="45"/>
      <c r="T228" s="45"/>
      <c r="U228" s="11" t="s">
        <v>380</v>
      </c>
      <c r="V228" s="12" t="s">
        <v>95</v>
      </c>
      <c r="W228" s="12" t="s">
        <v>46</v>
      </c>
      <c r="X228" s="12" t="s">
        <v>407</v>
      </c>
      <c r="Y228" s="45"/>
      <c r="Z228" s="45"/>
      <c r="AA228" s="45"/>
      <c r="AB228" s="45"/>
      <c r="AC228" s="6">
        <f t="shared" si="50"/>
        <v>0</v>
      </c>
      <c r="AD228" s="6" t="s">
        <v>869</v>
      </c>
      <c r="AE228" s="37"/>
    </row>
    <row r="229" spans="1:31" ht="35.1" customHeight="1" x14ac:dyDescent="0.2">
      <c r="A229" s="47" t="s">
        <v>320</v>
      </c>
      <c r="B229" s="46">
        <v>16051</v>
      </c>
      <c r="C229" s="48" t="s">
        <v>701</v>
      </c>
      <c r="D229" s="49" t="s">
        <v>28</v>
      </c>
      <c r="E229" s="45" t="s">
        <v>29</v>
      </c>
      <c r="F229" s="46" t="s">
        <v>605</v>
      </c>
      <c r="G229" s="46" t="s">
        <v>116</v>
      </c>
      <c r="H229" s="46"/>
      <c r="I229" s="46"/>
      <c r="J229" s="46" t="s">
        <v>31</v>
      </c>
      <c r="K229" s="46" t="s">
        <v>144</v>
      </c>
      <c r="L229" s="46" t="s">
        <v>41</v>
      </c>
      <c r="M229" s="46" t="s">
        <v>34</v>
      </c>
      <c r="N229" s="46" t="s">
        <v>105</v>
      </c>
      <c r="O229" s="46" t="s">
        <v>36</v>
      </c>
      <c r="P229" s="46" t="s">
        <v>36</v>
      </c>
      <c r="Q229" s="46" t="s">
        <v>36</v>
      </c>
      <c r="R229" s="45" t="s">
        <v>452</v>
      </c>
      <c r="S229" s="45" t="s">
        <v>321</v>
      </c>
      <c r="T229" s="45" t="s">
        <v>331</v>
      </c>
      <c r="U229" s="11" t="s">
        <v>380</v>
      </c>
      <c r="V229" s="12" t="s">
        <v>95</v>
      </c>
      <c r="W229" s="12" t="s">
        <v>46</v>
      </c>
      <c r="X229" s="12" t="s">
        <v>407</v>
      </c>
      <c r="Y229" s="45" t="str">
        <f>HYPERLINK("https://www.stromypodkontrolou.cz/map/tree/d41bce85-5010-4276-b929-4760db78c679/ab6a49a5-08bf-4480-9022-c8c0e3d1a169")</f>
        <v>https://www.stromypodkontrolou.cz/map/tree/d41bce85-5010-4276-b929-4760db78c679/ab6a49a5-08bf-4480-9022-c8c0e3d1a169</v>
      </c>
      <c r="Z229" s="45">
        <v>-750095.95063800004</v>
      </c>
      <c r="AA229" s="45">
        <v>-995925.92190900003</v>
      </c>
      <c r="AB229" s="45" t="str">
        <f>HYPERLINK("https://www.mapy.cz?st=search&amp;fr=50.49777158 14.22904372")</f>
        <v>https://www.mapy.cz?st=search&amp;fr=50.49777158 14.22904372</v>
      </c>
      <c r="AC229" s="6">
        <f t="shared" si="50"/>
        <v>288</v>
      </c>
      <c r="AD229" s="6" t="s">
        <v>871</v>
      </c>
      <c r="AE229" s="37"/>
    </row>
    <row r="230" spans="1:31" ht="35.1" customHeight="1" x14ac:dyDescent="0.2">
      <c r="A230" s="47"/>
      <c r="B230" s="46"/>
      <c r="C230" s="48"/>
      <c r="D230" s="49"/>
      <c r="E230" s="45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5"/>
      <c r="S230" s="45"/>
      <c r="T230" s="45"/>
      <c r="U230" s="11" t="s">
        <v>382</v>
      </c>
      <c r="V230" s="12" t="s">
        <v>95</v>
      </c>
      <c r="W230" s="12" t="s">
        <v>46</v>
      </c>
      <c r="X230" s="12"/>
      <c r="Y230" s="45"/>
      <c r="Z230" s="45"/>
      <c r="AA230" s="45"/>
      <c r="AB230" s="45"/>
      <c r="AC230" s="6">
        <f t="shared" si="50"/>
        <v>0</v>
      </c>
      <c r="AD230" s="6" t="s">
        <v>875</v>
      </c>
      <c r="AE230" s="37"/>
    </row>
    <row r="231" spans="1:31" ht="35.1" customHeight="1" x14ac:dyDescent="0.2">
      <c r="A231" s="26" t="s">
        <v>320</v>
      </c>
      <c r="B231" s="12">
        <v>16083</v>
      </c>
      <c r="C231" s="13" t="s">
        <v>702</v>
      </c>
      <c r="D231" s="14" t="s">
        <v>109</v>
      </c>
      <c r="E231" s="11" t="s">
        <v>110</v>
      </c>
      <c r="F231" s="12" t="s">
        <v>203</v>
      </c>
      <c r="G231" s="12"/>
      <c r="H231" s="12"/>
      <c r="I231" s="12"/>
      <c r="J231" s="12" t="s">
        <v>56</v>
      </c>
      <c r="K231" s="12" t="s">
        <v>42</v>
      </c>
      <c r="L231" s="12" t="s">
        <v>50</v>
      </c>
      <c r="M231" s="12" t="s">
        <v>34</v>
      </c>
      <c r="N231" s="12" t="s">
        <v>105</v>
      </c>
      <c r="O231" s="12" t="s">
        <v>36</v>
      </c>
      <c r="P231" s="12" t="s">
        <v>36</v>
      </c>
      <c r="Q231" s="12" t="s">
        <v>36</v>
      </c>
      <c r="R231" s="11" t="s">
        <v>703</v>
      </c>
      <c r="S231" s="11" t="s">
        <v>321</v>
      </c>
      <c r="T231" s="11" t="s">
        <v>861</v>
      </c>
      <c r="U231" s="11" t="s">
        <v>382</v>
      </c>
      <c r="V231" s="12"/>
      <c r="W231" s="12" t="s">
        <v>46</v>
      </c>
      <c r="X231" s="12" t="s">
        <v>549</v>
      </c>
      <c r="Y231" s="11" t="str">
        <f>HYPERLINK("https://www.stromypodkontrolou.cz/map/tree/d41bce85-5010-4276-b929-4760db78c679/f7d41844-5e0b-4f11-9358-0c3956beb590")</f>
        <v>https://www.stromypodkontrolou.cz/map/tree/d41bce85-5010-4276-b929-4760db78c679/f7d41844-5e0b-4f11-9358-0c3956beb590</v>
      </c>
      <c r="Z231" s="11">
        <v>-750146.06356499996</v>
      </c>
      <c r="AA231" s="11">
        <v>-995487.992141</v>
      </c>
      <c r="AB231" s="11" t="str">
        <f>HYPERLINK("https://www.mapy.cz?st=search&amp;fr=50.50160797 14.22748704")</f>
        <v>https://www.mapy.cz?st=search&amp;fr=50.50160797 14.22748704</v>
      </c>
      <c r="AC231" s="6">
        <f t="shared" si="50"/>
        <v>63</v>
      </c>
      <c r="AD231" s="6" t="s">
        <v>870</v>
      </c>
      <c r="AE231" s="37"/>
    </row>
    <row r="232" spans="1:31" ht="35.1" customHeight="1" x14ac:dyDescent="0.2">
      <c r="A232" s="47" t="s">
        <v>320</v>
      </c>
      <c r="B232" s="46">
        <v>16084</v>
      </c>
      <c r="C232" s="48" t="s">
        <v>704</v>
      </c>
      <c r="D232" s="49" t="s">
        <v>28</v>
      </c>
      <c r="E232" s="45" t="s">
        <v>29</v>
      </c>
      <c r="F232" s="46" t="s">
        <v>705</v>
      </c>
      <c r="G232" s="46" t="s">
        <v>234</v>
      </c>
      <c r="H232" s="46"/>
      <c r="I232" s="46"/>
      <c r="J232" s="46" t="s">
        <v>31</v>
      </c>
      <c r="K232" s="46" t="s">
        <v>99</v>
      </c>
      <c r="L232" s="46" t="s">
        <v>118</v>
      </c>
      <c r="M232" s="46" t="s">
        <v>34</v>
      </c>
      <c r="N232" s="46" t="s">
        <v>105</v>
      </c>
      <c r="O232" s="46" t="s">
        <v>46</v>
      </c>
      <c r="P232" s="46" t="s">
        <v>36</v>
      </c>
      <c r="Q232" s="46" t="s">
        <v>36</v>
      </c>
      <c r="R232" s="45" t="s">
        <v>452</v>
      </c>
      <c r="S232" s="45" t="s">
        <v>321</v>
      </c>
      <c r="T232" s="45" t="s">
        <v>333</v>
      </c>
      <c r="U232" s="11" t="s">
        <v>382</v>
      </c>
      <c r="V232" s="12" t="s">
        <v>95</v>
      </c>
      <c r="W232" s="12" t="s">
        <v>46</v>
      </c>
      <c r="X232" s="12"/>
      <c r="Y232" s="45" t="str">
        <f>HYPERLINK("https://www.stromypodkontrolou.cz/map/tree/d41bce85-5010-4276-b929-4760db78c679/6984ea92-9b07-43a0-92f9-8a1fccdd743f")</f>
        <v>https://www.stromypodkontrolou.cz/map/tree/d41bce85-5010-4276-b929-4760db78c679/6984ea92-9b07-43a0-92f9-8a1fccdd743f</v>
      </c>
      <c r="Z232" s="45">
        <v>-750144.82769399998</v>
      </c>
      <c r="AA232" s="45">
        <v>-995486.20132300002</v>
      </c>
      <c r="AB232" s="45" t="str">
        <f>HYPERLINK("https://www.mapy.cz?st=search&amp;fr=50.50162545 14.22750078")</f>
        <v>https://www.mapy.cz?st=search&amp;fr=50.50162545 14.22750078</v>
      </c>
      <c r="AC232" s="6">
        <f t="shared" si="50"/>
        <v>225</v>
      </c>
      <c r="AD232" s="6" t="s">
        <v>870</v>
      </c>
      <c r="AE232" s="37"/>
    </row>
    <row r="233" spans="1:31" ht="35.1" customHeight="1" x14ac:dyDescent="0.2">
      <c r="A233" s="47"/>
      <c r="B233" s="46"/>
      <c r="C233" s="48"/>
      <c r="D233" s="49"/>
      <c r="E233" s="45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5"/>
      <c r="S233" s="45"/>
      <c r="T233" s="45"/>
      <c r="U233" s="11" t="s">
        <v>380</v>
      </c>
      <c r="V233" s="12" t="s">
        <v>95</v>
      </c>
      <c r="W233" s="12" t="s">
        <v>46</v>
      </c>
      <c r="X233" s="12" t="s">
        <v>407</v>
      </c>
      <c r="Y233" s="45"/>
      <c r="Z233" s="45"/>
      <c r="AA233" s="45"/>
      <c r="AB233" s="45"/>
      <c r="AC233" s="6">
        <f t="shared" si="50"/>
        <v>0</v>
      </c>
      <c r="AD233" s="6" t="s">
        <v>871</v>
      </c>
      <c r="AE233" s="37"/>
    </row>
    <row r="234" spans="1:31" ht="35.1" customHeight="1" x14ac:dyDescent="0.2">
      <c r="A234" s="26" t="s">
        <v>320</v>
      </c>
      <c r="B234" s="12">
        <v>16085</v>
      </c>
      <c r="C234" s="13" t="s">
        <v>706</v>
      </c>
      <c r="D234" s="14" t="s">
        <v>28</v>
      </c>
      <c r="E234" s="11" t="s">
        <v>29</v>
      </c>
      <c r="F234" s="12" t="s">
        <v>78</v>
      </c>
      <c r="G234" s="12"/>
      <c r="H234" s="12"/>
      <c r="I234" s="12"/>
      <c r="J234" s="12" t="s">
        <v>72</v>
      </c>
      <c r="K234" s="12" t="s">
        <v>32</v>
      </c>
      <c r="L234" s="12" t="s">
        <v>50</v>
      </c>
      <c r="M234" s="12" t="s">
        <v>34</v>
      </c>
      <c r="N234" s="12" t="s">
        <v>105</v>
      </c>
      <c r="O234" s="12" t="s">
        <v>36</v>
      </c>
      <c r="P234" s="12" t="s">
        <v>36</v>
      </c>
      <c r="Q234" s="12" t="s">
        <v>37</v>
      </c>
      <c r="R234" s="11" t="s">
        <v>707</v>
      </c>
      <c r="S234" s="11" t="s">
        <v>321</v>
      </c>
      <c r="T234" s="11" t="s">
        <v>861</v>
      </c>
      <c r="U234" s="11" t="s">
        <v>382</v>
      </c>
      <c r="V234" s="12" t="s">
        <v>95</v>
      </c>
      <c r="W234" s="12" t="s">
        <v>46</v>
      </c>
      <c r="X234" s="12"/>
      <c r="Y234" s="11" t="str">
        <f>HYPERLINK("https://www.stromypodkontrolou.cz/map/tree/d41bce85-5010-4276-b929-4760db78c679/b41dccb9-2499-47c0-bb23-864aa7b5c456")</f>
        <v>https://www.stromypodkontrolou.cz/map/tree/d41bce85-5010-4276-b929-4760db78c679/b41dccb9-2499-47c0-bb23-864aa7b5c456</v>
      </c>
      <c r="Z234" s="11">
        <v>-750146.40143900004</v>
      </c>
      <c r="AA234" s="11">
        <v>-995484.06441400002</v>
      </c>
      <c r="AB234" s="11" t="str">
        <f>HYPERLINK("https://www.mapy.cz?st=search&amp;fr=50.50164251 14.22747463")</f>
        <v>https://www.mapy.cz?st=search&amp;fr=50.50164251 14.22747463</v>
      </c>
      <c r="AC234" s="6">
        <f t="shared" si="50"/>
        <v>91</v>
      </c>
      <c r="AD234" s="6" t="s">
        <v>870</v>
      </c>
      <c r="AE234" s="37"/>
    </row>
    <row r="235" spans="1:31" ht="35.1" customHeight="1" x14ac:dyDescent="0.2">
      <c r="A235" s="26" t="s">
        <v>320</v>
      </c>
      <c r="B235" s="12">
        <v>16109</v>
      </c>
      <c r="C235" s="13" t="s">
        <v>708</v>
      </c>
      <c r="D235" s="14" t="s">
        <v>109</v>
      </c>
      <c r="E235" s="11" t="s">
        <v>110</v>
      </c>
      <c r="F235" s="12" t="s">
        <v>53</v>
      </c>
      <c r="G235" s="12" t="s">
        <v>228</v>
      </c>
      <c r="H235" s="12"/>
      <c r="I235" s="12"/>
      <c r="J235" s="12" t="s">
        <v>72</v>
      </c>
      <c r="K235" s="12" t="s">
        <v>103</v>
      </c>
      <c r="L235" s="12" t="s">
        <v>33</v>
      </c>
      <c r="M235" s="12" t="s">
        <v>34</v>
      </c>
      <c r="N235" s="12" t="s">
        <v>105</v>
      </c>
      <c r="O235" s="12" t="s">
        <v>36</v>
      </c>
      <c r="P235" s="12" t="s">
        <v>36</v>
      </c>
      <c r="Q235" s="12" t="s">
        <v>36</v>
      </c>
      <c r="R235" s="11" t="s">
        <v>452</v>
      </c>
      <c r="S235" s="11" t="s">
        <v>321</v>
      </c>
      <c r="T235" s="11" t="s">
        <v>334</v>
      </c>
      <c r="U235" s="11" t="s">
        <v>382</v>
      </c>
      <c r="V235" s="12" t="s">
        <v>95</v>
      </c>
      <c r="W235" s="12" t="s">
        <v>46</v>
      </c>
      <c r="X235" s="12"/>
      <c r="Y235" s="11" t="str">
        <f>HYPERLINK("https://www.stromypodkontrolou.cz/map/tree/d41bce85-5010-4276-b929-4760db78c679/00d5038e-bd9e-47b8-b14c-9be5185a3d1f")</f>
        <v>https://www.stromypodkontrolou.cz/map/tree/d41bce85-5010-4276-b929-4760db78c679/00d5038e-bd9e-47b8-b14c-9be5185a3d1f</v>
      </c>
      <c r="Z235" s="11">
        <v>-750137.75111900002</v>
      </c>
      <c r="AA235" s="11">
        <v>-995258.306017</v>
      </c>
      <c r="AB235" s="11" t="str">
        <f>HYPERLINK("https://www.mapy.cz?st=search&amp;fr=50.50366327 14.22715344")</f>
        <v>https://www.mapy.cz?st=search&amp;fr=50.50366327 14.22715344</v>
      </c>
      <c r="AC235" s="6">
        <f t="shared" si="50"/>
        <v>112</v>
      </c>
      <c r="AD235" s="6" t="s">
        <v>870</v>
      </c>
      <c r="AE235" s="37"/>
    </row>
    <row r="236" spans="1:31" ht="35.1" customHeight="1" x14ac:dyDescent="0.2">
      <c r="A236" s="26" t="s">
        <v>320</v>
      </c>
      <c r="B236" s="12">
        <v>16115</v>
      </c>
      <c r="C236" s="13" t="s">
        <v>709</v>
      </c>
      <c r="D236" s="14" t="s">
        <v>128</v>
      </c>
      <c r="E236" s="11" t="s">
        <v>129</v>
      </c>
      <c r="F236" s="12" t="s">
        <v>234</v>
      </c>
      <c r="G236" s="12"/>
      <c r="H236" s="12"/>
      <c r="I236" s="12"/>
      <c r="J236" s="12" t="s">
        <v>84</v>
      </c>
      <c r="K236" s="12" t="s">
        <v>144</v>
      </c>
      <c r="L236" s="12" t="s">
        <v>50</v>
      </c>
      <c r="M236" s="12" t="s">
        <v>34</v>
      </c>
      <c r="N236" s="12" t="s">
        <v>105</v>
      </c>
      <c r="O236" s="12" t="s">
        <v>36</v>
      </c>
      <c r="P236" s="12" t="s">
        <v>36</v>
      </c>
      <c r="Q236" s="12" t="s">
        <v>37</v>
      </c>
      <c r="R236" s="11" t="s">
        <v>452</v>
      </c>
      <c r="S236" s="11" t="s">
        <v>321</v>
      </c>
      <c r="T236" s="11" t="s">
        <v>327</v>
      </c>
      <c r="U236" s="11" t="s">
        <v>382</v>
      </c>
      <c r="V236" s="12" t="s">
        <v>95</v>
      </c>
      <c r="W236" s="12" t="s">
        <v>46</v>
      </c>
      <c r="X236" s="12"/>
      <c r="Y236" s="11" t="str">
        <f>HYPERLINK("https://www.stromypodkontrolou.cz/map/tree/d41bce85-5010-4276-b929-4760db78c679/4dfe7853-37e4-4994-b6da-db89a34fa594")</f>
        <v>https://www.stromypodkontrolou.cz/map/tree/d41bce85-5010-4276-b929-4760db78c679/4dfe7853-37e4-4994-b6da-db89a34fa594</v>
      </c>
      <c r="Z236" s="11">
        <v>-750152.13491400005</v>
      </c>
      <c r="AA236" s="11">
        <v>-995263.42648799997</v>
      </c>
      <c r="AB236" s="11" t="str">
        <f>HYPERLINK("https://www.mapy.cz?st=search&amp;fr=50.50359972 14.22696266")</f>
        <v>https://www.mapy.cz?st=search&amp;fr=50.50359972 14.22696266</v>
      </c>
      <c r="AC236" s="6">
        <f t="shared" si="50"/>
        <v>84</v>
      </c>
      <c r="AD236" s="6" t="s">
        <v>870</v>
      </c>
      <c r="AE236" s="37"/>
    </row>
    <row r="237" spans="1:31" ht="35.1" customHeight="1" x14ac:dyDescent="0.2">
      <c r="A237" s="26" t="s">
        <v>335</v>
      </c>
      <c r="B237" s="12">
        <v>10610</v>
      </c>
      <c r="C237" s="13" t="s">
        <v>711</v>
      </c>
      <c r="D237" s="14" t="s">
        <v>285</v>
      </c>
      <c r="E237" s="11" t="s">
        <v>286</v>
      </c>
      <c r="F237" s="12" t="s">
        <v>93</v>
      </c>
      <c r="G237" s="12"/>
      <c r="H237" s="12"/>
      <c r="I237" s="12"/>
      <c r="J237" s="12" t="s">
        <v>72</v>
      </c>
      <c r="K237" s="12" t="s">
        <v>32</v>
      </c>
      <c r="L237" s="12" t="s">
        <v>104</v>
      </c>
      <c r="M237" s="12" t="s">
        <v>37</v>
      </c>
      <c r="N237" s="12" t="s">
        <v>105</v>
      </c>
      <c r="O237" s="12" t="s">
        <v>46</v>
      </c>
      <c r="P237" s="12" t="s">
        <v>36</v>
      </c>
      <c r="Q237" s="12" t="s">
        <v>36</v>
      </c>
      <c r="R237" s="11" t="s">
        <v>114</v>
      </c>
      <c r="S237" s="11" t="s">
        <v>336</v>
      </c>
      <c r="T237" s="11" t="s">
        <v>710</v>
      </c>
      <c r="U237" s="11" t="s">
        <v>378</v>
      </c>
      <c r="V237" s="12" t="s">
        <v>95</v>
      </c>
      <c r="W237" s="12" t="s">
        <v>46</v>
      </c>
      <c r="X237" s="12" t="s">
        <v>379</v>
      </c>
      <c r="Y237" s="11" t="str">
        <f>HYPERLINK("https://www.stromypodkontrolou.cz/map/tree/d41bce85-5010-4276-b929-4760db78c679/3a71d9a8-fcf7-41ee-9514-51b8a919181c")</f>
        <v>https://www.stromypodkontrolou.cz/map/tree/d41bce85-5010-4276-b929-4760db78c679/3a71d9a8-fcf7-41ee-9514-51b8a919181c</v>
      </c>
      <c r="Z237" s="11">
        <v>-750142.150975</v>
      </c>
      <c r="AA237" s="11">
        <v>-996713.06926899997</v>
      </c>
      <c r="AB237" s="11" t="str">
        <f>HYPERLINK("https://www.mapy.cz?st=search&amp;fr=50.49070579 14.22993925")</f>
        <v>https://www.mapy.cz?st=search&amp;fr=50.49070579 14.22993925</v>
      </c>
      <c r="AC237" s="6">
        <f t="shared" ref="AC237:AC238" si="51">(J237-K237)*L237</f>
        <v>143</v>
      </c>
      <c r="AD237" s="6" t="s">
        <v>866</v>
      </c>
      <c r="AE237" s="37"/>
    </row>
    <row r="238" spans="1:31" ht="35.1" customHeight="1" x14ac:dyDescent="0.2">
      <c r="A238" s="26" t="s">
        <v>335</v>
      </c>
      <c r="B238" s="12">
        <v>10611</v>
      </c>
      <c r="C238" s="13" t="s">
        <v>712</v>
      </c>
      <c r="D238" s="14" t="s">
        <v>109</v>
      </c>
      <c r="E238" s="11" t="s">
        <v>110</v>
      </c>
      <c r="F238" s="12" t="s">
        <v>228</v>
      </c>
      <c r="G238" s="12" t="s">
        <v>120</v>
      </c>
      <c r="H238" s="12"/>
      <c r="I238" s="12"/>
      <c r="J238" s="12" t="s">
        <v>56</v>
      </c>
      <c r="K238" s="12" t="s">
        <v>144</v>
      </c>
      <c r="L238" s="12" t="s">
        <v>47</v>
      </c>
      <c r="M238" s="12" t="s">
        <v>34</v>
      </c>
      <c r="N238" s="12" t="s">
        <v>105</v>
      </c>
      <c r="O238" s="12" t="s">
        <v>46</v>
      </c>
      <c r="P238" s="12" t="s">
        <v>37</v>
      </c>
      <c r="Q238" s="12" t="s">
        <v>37</v>
      </c>
      <c r="R238" s="11" t="s">
        <v>184</v>
      </c>
      <c r="S238" s="11" t="s">
        <v>336</v>
      </c>
      <c r="T238" s="11" t="s">
        <v>710</v>
      </c>
      <c r="U238" s="11" t="s">
        <v>380</v>
      </c>
      <c r="V238" s="12" t="s">
        <v>95</v>
      </c>
      <c r="W238" s="12" t="s">
        <v>46</v>
      </c>
      <c r="X238" s="12" t="s">
        <v>386</v>
      </c>
      <c r="Y238" s="11" t="str">
        <f>HYPERLINK("https://www.stromypodkontrolou.cz/map/tree/d41bce85-5010-4276-b929-4760db78c679/8a6d2967-e167-4995-8e06-93dd9047c891")</f>
        <v>https://www.stromypodkontrolou.cz/map/tree/d41bce85-5010-4276-b929-4760db78c679/8a6d2967-e167-4995-8e06-93dd9047c891</v>
      </c>
      <c r="Z238" s="11">
        <v>-750146.70591500006</v>
      </c>
      <c r="AA238" s="11">
        <v>-996703.06305400003</v>
      </c>
      <c r="AB238" s="11" t="str">
        <f>HYPERLINK("https://www.mapy.cz?st=search&amp;fr=50.49078919 14.22985610")</f>
        <v>https://www.mapy.cz?st=search&amp;fr=50.49078919 14.22985610</v>
      </c>
      <c r="AC238" s="6">
        <f t="shared" si="51"/>
        <v>132</v>
      </c>
      <c r="AD238" s="6" t="s">
        <v>869</v>
      </c>
      <c r="AE238" s="37"/>
    </row>
    <row r="239" spans="1:31" ht="35.1" customHeight="1" x14ac:dyDescent="0.2">
      <c r="A239" s="26" t="s">
        <v>335</v>
      </c>
      <c r="B239" s="12">
        <v>10630</v>
      </c>
      <c r="C239" s="13" t="s">
        <v>713</v>
      </c>
      <c r="D239" s="14" t="s">
        <v>285</v>
      </c>
      <c r="E239" s="11" t="s">
        <v>286</v>
      </c>
      <c r="F239" s="12" t="s">
        <v>179</v>
      </c>
      <c r="G239" s="12"/>
      <c r="H239" s="12"/>
      <c r="I239" s="12"/>
      <c r="J239" s="12" t="s">
        <v>66</v>
      </c>
      <c r="K239" s="12" t="s">
        <v>103</v>
      </c>
      <c r="L239" s="12" t="s">
        <v>104</v>
      </c>
      <c r="M239" s="12" t="s">
        <v>37</v>
      </c>
      <c r="N239" s="12" t="s">
        <v>105</v>
      </c>
      <c r="O239" s="12" t="s">
        <v>46</v>
      </c>
      <c r="P239" s="12" t="s">
        <v>46</v>
      </c>
      <c r="Q239" s="12" t="s">
        <v>36</v>
      </c>
      <c r="R239" s="11" t="s">
        <v>114</v>
      </c>
      <c r="S239" s="11" t="s">
        <v>336</v>
      </c>
      <c r="T239" s="11" t="s">
        <v>338</v>
      </c>
      <c r="U239" s="11" t="s">
        <v>378</v>
      </c>
      <c r="V239" s="12" t="s">
        <v>95</v>
      </c>
      <c r="W239" s="12" t="s">
        <v>46</v>
      </c>
      <c r="X239" s="12" t="s">
        <v>379</v>
      </c>
      <c r="Y239" s="11" t="str">
        <f>HYPERLINK("https://www.stromypodkontrolou.cz/map/tree/d41bce85-5010-4276-b929-4760db78c679/c877467b-b53d-43f8-8491-a213c3edc922")</f>
        <v>https://www.stromypodkontrolou.cz/map/tree/d41bce85-5010-4276-b929-4760db78c679/c877467b-b53d-43f8-8491-a213c3edc922</v>
      </c>
      <c r="Z239" s="11">
        <v>-749994.14268799999</v>
      </c>
      <c r="AA239" s="11">
        <v>-997243.21281499998</v>
      </c>
      <c r="AB239" s="11" t="str">
        <f>HYPERLINK("https://www.mapy.cz?st=search&amp;fr=50.48617052 14.23304189")</f>
        <v>https://www.mapy.cz?st=search&amp;fr=50.48617052 14.23304189</v>
      </c>
      <c r="AC239" s="6">
        <f>(J239-K239)*L239</f>
        <v>132</v>
      </c>
      <c r="AD239" s="6" t="s">
        <v>866</v>
      </c>
      <c r="AE239" s="37"/>
    </row>
    <row r="240" spans="1:31" ht="35.1" customHeight="1" x14ac:dyDescent="0.2">
      <c r="A240" s="26" t="s">
        <v>335</v>
      </c>
      <c r="B240" s="12">
        <v>10637</v>
      </c>
      <c r="C240" s="13" t="s">
        <v>714</v>
      </c>
      <c r="D240" s="14" t="s">
        <v>62</v>
      </c>
      <c r="E240" s="11" t="s">
        <v>63</v>
      </c>
      <c r="F240" s="12" t="s">
        <v>263</v>
      </c>
      <c r="G240" s="12"/>
      <c r="H240" s="12"/>
      <c r="I240" s="12"/>
      <c r="J240" s="12" t="s">
        <v>79</v>
      </c>
      <c r="K240" s="12" t="s">
        <v>103</v>
      </c>
      <c r="L240" s="12" t="s">
        <v>47</v>
      </c>
      <c r="M240" s="12" t="s">
        <v>34</v>
      </c>
      <c r="N240" s="12" t="s">
        <v>105</v>
      </c>
      <c r="O240" s="12" t="s">
        <v>36</v>
      </c>
      <c r="P240" s="12" t="s">
        <v>36</v>
      </c>
      <c r="Q240" s="12" t="s">
        <v>37</v>
      </c>
      <c r="R240" s="11"/>
      <c r="S240" s="11" t="s">
        <v>336</v>
      </c>
      <c r="T240" s="11" t="s">
        <v>337</v>
      </c>
      <c r="U240" s="11" t="s">
        <v>382</v>
      </c>
      <c r="V240" s="12" t="s">
        <v>95</v>
      </c>
      <c r="W240" s="12" t="s">
        <v>46</v>
      </c>
      <c r="X240" s="12"/>
      <c r="Y240" s="11" t="str">
        <f>HYPERLINK("https://www.stromypodkontrolou.cz/map/tree/d41bce85-5010-4276-b929-4760db78c679/551498d7-9eaf-45bb-ae55-d00a2d7d4438")</f>
        <v>https://www.stromypodkontrolou.cz/map/tree/d41bce85-5010-4276-b929-4760db78c679/551498d7-9eaf-45bb-ae55-d00a2d7d4438</v>
      </c>
      <c r="Z240" s="11">
        <v>-750031.84207799996</v>
      </c>
      <c r="AA240" s="11">
        <v>-997040.97900699999</v>
      </c>
      <c r="AB240" s="11" t="str">
        <f>HYPERLINK("https://www.mapy.cz?st=search&amp;fr=50.48792401 14.23212022")</f>
        <v>https://www.mapy.cz?st=search&amp;fr=50.48792401 14.23212022</v>
      </c>
      <c r="AC240" s="6">
        <f>(J240-K240)*L240</f>
        <v>108</v>
      </c>
      <c r="AD240" s="6" t="s">
        <v>870</v>
      </c>
      <c r="AE240" s="37"/>
    </row>
    <row r="241" spans="1:31" ht="35.1" customHeight="1" x14ac:dyDescent="0.2">
      <c r="A241" s="26" t="s">
        <v>335</v>
      </c>
      <c r="B241" s="12">
        <v>10646</v>
      </c>
      <c r="C241" s="13" t="s">
        <v>715</v>
      </c>
      <c r="D241" s="14" t="s">
        <v>285</v>
      </c>
      <c r="E241" s="11" t="s">
        <v>286</v>
      </c>
      <c r="F241" s="12" t="s">
        <v>55</v>
      </c>
      <c r="G241" s="12"/>
      <c r="H241" s="12"/>
      <c r="I241" s="12"/>
      <c r="J241" s="12" t="s">
        <v>66</v>
      </c>
      <c r="K241" s="12" t="s">
        <v>32</v>
      </c>
      <c r="L241" s="12" t="s">
        <v>49</v>
      </c>
      <c r="M241" s="12" t="s">
        <v>37</v>
      </c>
      <c r="N241" s="12" t="s">
        <v>105</v>
      </c>
      <c r="O241" s="12" t="s">
        <v>46</v>
      </c>
      <c r="P241" s="12" t="s">
        <v>36</v>
      </c>
      <c r="Q241" s="12" t="s">
        <v>36</v>
      </c>
      <c r="R241" s="11" t="s">
        <v>114</v>
      </c>
      <c r="S241" s="11" t="s">
        <v>336</v>
      </c>
      <c r="T241" s="11" t="s">
        <v>338</v>
      </c>
      <c r="U241" s="11" t="s">
        <v>378</v>
      </c>
      <c r="V241" s="12" t="s">
        <v>95</v>
      </c>
      <c r="W241" s="12" t="s">
        <v>46</v>
      </c>
      <c r="X241" s="12" t="s">
        <v>379</v>
      </c>
      <c r="Y241" s="11" t="str">
        <f>HYPERLINK("https://www.stromypodkontrolou.cz/map/tree/d41bce85-5010-4276-b929-4760db78c679/f5ed8d8f-8d6c-41f7-bb4a-e631aa7346e9")</f>
        <v>https://www.stromypodkontrolou.cz/map/tree/d41bce85-5010-4276-b929-4760db78c679/f5ed8d8f-8d6c-41f7-bb4a-e631aa7346e9</v>
      </c>
      <c r="Z241" s="11">
        <v>-750051.95582300005</v>
      </c>
      <c r="AA241" s="11">
        <v>-996982.74177900003</v>
      </c>
      <c r="AB241" s="11" t="str">
        <f>HYPERLINK("https://www.mapy.cz?st=search&amp;fr=50.48841741 14.23172560")</f>
        <v>https://www.mapy.cz?st=search&amp;fr=50.48841741 14.23172560</v>
      </c>
      <c r="AC241" s="6">
        <f t="shared" ref="AC241:AC242" si="52">(J241-K241)*L241</f>
        <v>99</v>
      </c>
      <c r="AD241" s="6" t="s">
        <v>866</v>
      </c>
      <c r="AE241" s="37"/>
    </row>
    <row r="242" spans="1:31" ht="35.1" customHeight="1" x14ac:dyDescent="0.2">
      <c r="A242" s="26" t="s">
        <v>335</v>
      </c>
      <c r="B242" s="12">
        <v>10654</v>
      </c>
      <c r="C242" s="13" t="s">
        <v>716</v>
      </c>
      <c r="D242" s="14" t="s">
        <v>285</v>
      </c>
      <c r="E242" s="11" t="s">
        <v>286</v>
      </c>
      <c r="F242" s="12" t="s">
        <v>124</v>
      </c>
      <c r="G242" s="12"/>
      <c r="H242" s="12"/>
      <c r="I242" s="12"/>
      <c r="J242" s="12" t="s">
        <v>66</v>
      </c>
      <c r="K242" s="12" t="s">
        <v>32</v>
      </c>
      <c r="L242" s="12" t="s">
        <v>104</v>
      </c>
      <c r="M242" s="12" t="s">
        <v>37</v>
      </c>
      <c r="N242" s="12" t="s">
        <v>105</v>
      </c>
      <c r="O242" s="12" t="s">
        <v>46</v>
      </c>
      <c r="P242" s="12" t="s">
        <v>36</v>
      </c>
      <c r="Q242" s="12" t="s">
        <v>36</v>
      </c>
      <c r="R242" s="11" t="s">
        <v>114</v>
      </c>
      <c r="S242" s="11" t="s">
        <v>336</v>
      </c>
      <c r="T242" s="11" t="s">
        <v>338</v>
      </c>
      <c r="U242" s="11" t="s">
        <v>378</v>
      </c>
      <c r="V242" s="12" t="s">
        <v>95</v>
      </c>
      <c r="W242" s="12" t="s">
        <v>46</v>
      </c>
      <c r="X242" s="12" t="s">
        <v>379</v>
      </c>
      <c r="Y242" s="11" t="str">
        <f>HYPERLINK("https://www.stromypodkontrolou.cz/map/tree/d41bce85-5010-4276-b929-4760db78c679/3b02336b-bfde-4112-98b0-3f11fe126cf1")</f>
        <v>https://www.stromypodkontrolou.cz/map/tree/d41bce85-5010-4276-b929-4760db78c679/3b02336b-bfde-4112-98b0-3f11fe126cf1</v>
      </c>
      <c r="Z242" s="11">
        <v>-750076.67224099999</v>
      </c>
      <c r="AA242" s="11">
        <v>-996898.55917799997</v>
      </c>
      <c r="AB242" s="11" t="str">
        <f>HYPERLINK("https://www.mapy.cz?st=search&amp;fr=50.48913606 14.23121598")</f>
        <v>https://www.mapy.cz?st=search&amp;fr=50.48913606 14.23121598</v>
      </c>
      <c r="AC242" s="6">
        <f t="shared" si="52"/>
        <v>121</v>
      </c>
      <c r="AD242" s="6" t="s">
        <v>866</v>
      </c>
      <c r="AE242" s="37"/>
    </row>
    <row r="243" spans="1:31" ht="35.1" customHeight="1" x14ac:dyDescent="0.2">
      <c r="A243" s="26" t="s">
        <v>335</v>
      </c>
      <c r="B243" s="12">
        <v>10656</v>
      </c>
      <c r="C243" s="13" t="s">
        <v>717</v>
      </c>
      <c r="D243" s="14" t="s">
        <v>285</v>
      </c>
      <c r="E243" s="11" t="s">
        <v>286</v>
      </c>
      <c r="F243" s="12" t="s">
        <v>119</v>
      </c>
      <c r="G243" s="12"/>
      <c r="H243" s="12"/>
      <c r="I243" s="12"/>
      <c r="J243" s="12" t="s">
        <v>112</v>
      </c>
      <c r="K243" s="12" t="s">
        <v>103</v>
      </c>
      <c r="L243" s="12" t="s">
        <v>49</v>
      </c>
      <c r="M243" s="12" t="s">
        <v>37</v>
      </c>
      <c r="N243" s="12" t="s">
        <v>105</v>
      </c>
      <c r="O243" s="12" t="s">
        <v>46</v>
      </c>
      <c r="P243" s="12" t="s">
        <v>46</v>
      </c>
      <c r="Q243" s="12" t="s">
        <v>36</v>
      </c>
      <c r="R243" s="11" t="s">
        <v>114</v>
      </c>
      <c r="S243" s="11" t="s">
        <v>336</v>
      </c>
      <c r="T243" s="11" t="s">
        <v>338</v>
      </c>
      <c r="U243" s="11" t="s">
        <v>378</v>
      </c>
      <c r="V243" s="12" t="s">
        <v>95</v>
      </c>
      <c r="W243" s="12" t="s">
        <v>46</v>
      </c>
      <c r="X243" s="12" t="s">
        <v>379</v>
      </c>
      <c r="Y243" s="11" t="str">
        <f>HYPERLINK("https://www.stromypodkontrolou.cz/map/tree/d41bce85-5010-4276-b929-4760db78c679/9ab7d4ef-c37b-4972-86d6-53a3b46ecedc")</f>
        <v>https://www.stromypodkontrolou.cz/map/tree/d41bce85-5010-4276-b929-4760db78c679/9ab7d4ef-c37b-4972-86d6-53a3b46ecedc</v>
      </c>
      <c r="Z243" s="11">
        <v>-750088.89310600003</v>
      </c>
      <c r="AA243" s="11">
        <v>-996866.80170900002</v>
      </c>
      <c r="AB243" s="11" t="str">
        <f>HYPERLINK("https://www.mapy.cz?st=search&amp;fr=50.48940355 14.23098330")</f>
        <v>https://www.mapy.cz?st=search&amp;fr=50.48940355 14.23098330</v>
      </c>
      <c r="AC243" s="6">
        <f>(J243-K243)*L243</f>
        <v>90</v>
      </c>
      <c r="AD243" s="6" t="s">
        <v>866</v>
      </c>
      <c r="AE243" s="37"/>
    </row>
    <row r="244" spans="1:31" ht="35.1" customHeight="1" x14ac:dyDescent="0.2">
      <c r="A244" s="47" t="s">
        <v>341</v>
      </c>
      <c r="B244" s="46">
        <v>11047</v>
      </c>
      <c r="C244" s="48" t="s">
        <v>718</v>
      </c>
      <c r="D244" s="49" t="s">
        <v>28</v>
      </c>
      <c r="E244" s="45" t="s">
        <v>29</v>
      </c>
      <c r="F244" s="46" t="s">
        <v>190</v>
      </c>
      <c r="G244" s="46"/>
      <c r="H244" s="46"/>
      <c r="I244" s="46"/>
      <c r="J244" s="46" t="s">
        <v>31</v>
      </c>
      <c r="K244" s="46" t="s">
        <v>113</v>
      </c>
      <c r="L244" s="46" t="s">
        <v>47</v>
      </c>
      <c r="M244" s="46" t="s">
        <v>34</v>
      </c>
      <c r="N244" s="46" t="s">
        <v>105</v>
      </c>
      <c r="O244" s="46" t="s">
        <v>36</v>
      </c>
      <c r="P244" s="46" t="s">
        <v>36</v>
      </c>
      <c r="Q244" s="46" t="s">
        <v>37</v>
      </c>
      <c r="R244" s="45" t="s">
        <v>159</v>
      </c>
      <c r="S244" s="45" t="s">
        <v>323</v>
      </c>
      <c r="T244" s="45" t="s">
        <v>324</v>
      </c>
      <c r="U244" s="11" t="s">
        <v>380</v>
      </c>
      <c r="V244" s="12" t="s">
        <v>95</v>
      </c>
      <c r="W244" s="12" t="s">
        <v>46</v>
      </c>
      <c r="X244" s="12" t="s">
        <v>719</v>
      </c>
      <c r="Y244" s="45" t="str">
        <f>HYPERLINK("https://www.stromypodkontrolou.cz/map/tree/d41bce85-5010-4276-b929-4760db78c679/54bf6b99-9d90-4979-b1f6-f05c7c7d84c9")</f>
        <v>https://www.stromypodkontrolou.cz/map/tree/d41bce85-5010-4276-b929-4760db78c679/54bf6b99-9d90-4979-b1f6-f05c7c7d84c9</v>
      </c>
      <c r="Z244" s="45">
        <v>-749820.956137</v>
      </c>
      <c r="AA244" s="45">
        <v>-997321.32198000001</v>
      </c>
      <c r="AB244" s="45" t="str">
        <f>HYPERLINK("https://www.mapy.cz?st=search&amp;fr=50.48569117 14.23561145")</f>
        <v>https://www.mapy.cz?st=search&amp;fr=50.48569117 14.23561145</v>
      </c>
      <c r="AC244" s="6">
        <f t="shared" ref="AC244:AC246" si="53">(J244-K244)*L244</f>
        <v>240</v>
      </c>
      <c r="AD244" s="6" t="s">
        <v>871</v>
      </c>
      <c r="AE244" s="37"/>
    </row>
    <row r="245" spans="1:31" ht="35.1" customHeight="1" x14ac:dyDescent="0.2">
      <c r="A245" s="47"/>
      <c r="B245" s="46"/>
      <c r="C245" s="48"/>
      <c r="D245" s="49"/>
      <c r="E245" s="45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5"/>
      <c r="S245" s="45"/>
      <c r="T245" s="45"/>
      <c r="U245" s="11" t="s">
        <v>382</v>
      </c>
      <c r="V245" s="12" t="s">
        <v>95</v>
      </c>
      <c r="W245" s="12" t="s">
        <v>46</v>
      </c>
      <c r="X245" s="12"/>
      <c r="Y245" s="45"/>
      <c r="Z245" s="45"/>
      <c r="AA245" s="45"/>
      <c r="AB245" s="45"/>
      <c r="AC245" s="6">
        <f t="shared" si="53"/>
        <v>0</v>
      </c>
      <c r="AD245" s="6" t="s">
        <v>870</v>
      </c>
      <c r="AE245" s="37"/>
    </row>
    <row r="246" spans="1:31" ht="35.1" customHeight="1" x14ac:dyDescent="0.2">
      <c r="A246" s="47"/>
      <c r="B246" s="46"/>
      <c r="C246" s="48"/>
      <c r="D246" s="49"/>
      <c r="E246" s="45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5"/>
      <c r="S246" s="45"/>
      <c r="T246" s="45"/>
      <c r="U246" s="11" t="s">
        <v>480</v>
      </c>
      <c r="V246" s="12" t="s">
        <v>95</v>
      </c>
      <c r="W246" s="12" t="s">
        <v>46</v>
      </c>
      <c r="X246" s="12" t="s">
        <v>422</v>
      </c>
      <c r="Y246" s="45"/>
      <c r="Z246" s="45"/>
      <c r="AA246" s="45"/>
      <c r="AB246" s="45"/>
      <c r="AC246" s="6">
        <f t="shared" si="53"/>
        <v>0</v>
      </c>
      <c r="AD246" s="6" t="s">
        <v>876</v>
      </c>
      <c r="AE246" s="37"/>
    </row>
    <row r="247" spans="1:31" ht="35.1" customHeight="1" x14ac:dyDescent="0.2">
      <c r="A247" s="26" t="s">
        <v>341</v>
      </c>
      <c r="B247" s="12">
        <v>11051</v>
      </c>
      <c r="C247" s="13" t="s">
        <v>720</v>
      </c>
      <c r="D247" s="14" t="s">
        <v>28</v>
      </c>
      <c r="E247" s="11" t="s">
        <v>29</v>
      </c>
      <c r="F247" s="12" t="s">
        <v>54</v>
      </c>
      <c r="G247" s="12"/>
      <c r="H247" s="12"/>
      <c r="I247" s="12"/>
      <c r="J247" s="12" t="s">
        <v>170</v>
      </c>
      <c r="K247" s="12" t="s">
        <v>32</v>
      </c>
      <c r="L247" s="12" t="s">
        <v>50</v>
      </c>
      <c r="M247" s="12" t="s">
        <v>34</v>
      </c>
      <c r="N247" s="12" t="s">
        <v>105</v>
      </c>
      <c r="O247" s="12" t="s">
        <v>36</v>
      </c>
      <c r="P247" s="12" t="s">
        <v>36</v>
      </c>
      <c r="Q247" s="12" t="s">
        <v>36</v>
      </c>
      <c r="R247" s="11"/>
      <c r="S247" s="11" t="s">
        <v>323</v>
      </c>
      <c r="T247" s="11" t="s">
        <v>342</v>
      </c>
      <c r="U247" s="11" t="s">
        <v>382</v>
      </c>
      <c r="V247" s="12" t="s">
        <v>95</v>
      </c>
      <c r="W247" s="12" t="s">
        <v>46</v>
      </c>
      <c r="X247" s="12"/>
      <c r="Y247" s="11" t="str">
        <f>HYPERLINK("https://www.stromypodkontrolou.cz/map/tree/d41bce85-5010-4276-b929-4760db78c679/0d7e9210-7a65-48d2-9615-8ea57fcfc57f")</f>
        <v>https://www.stromypodkontrolou.cz/map/tree/d41bce85-5010-4276-b929-4760db78c679/0d7e9210-7a65-48d2-9615-8ea57fcfc57f</v>
      </c>
      <c r="Z247" s="11">
        <v>-749822.51805700001</v>
      </c>
      <c r="AA247" s="11">
        <v>-997311.207497</v>
      </c>
      <c r="AB247" s="11" t="str">
        <f>HYPERLINK("https://www.mapy.cz?st=search&amp;fr=50.48577928 14.23556987")</f>
        <v>https://www.mapy.cz?st=search&amp;fr=50.48577928 14.23556987</v>
      </c>
      <c r="AC247" s="6">
        <f t="shared" ref="AC247:AC251" si="54">(J247-K247)*L247</f>
        <v>154</v>
      </c>
      <c r="AD247" s="6" t="s">
        <v>870</v>
      </c>
      <c r="AE247" s="37"/>
    </row>
    <row r="248" spans="1:31" ht="35.1" customHeight="1" x14ac:dyDescent="0.2">
      <c r="A248" s="47" t="s">
        <v>341</v>
      </c>
      <c r="B248" s="46">
        <v>11052</v>
      </c>
      <c r="C248" s="48" t="s">
        <v>721</v>
      </c>
      <c r="D248" s="49" t="s">
        <v>28</v>
      </c>
      <c r="E248" s="45" t="s">
        <v>29</v>
      </c>
      <c r="F248" s="46" t="s">
        <v>188</v>
      </c>
      <c r="G248" s="46" t="s">
        <v>77</v>
      </c>
      <c r="H248" s="46"/>
      <c r="I248" s="46"/>
      <c r="J248" s="46" t="s">
        <v>170</v>
      </c>
      <c r="K248" s="46" t="s">
        <v>32</v>
      </c>
      <c r="L248" s="46" t="s">
        <v>94</v>
      </c>
      <c r="M248" s="46" t="s">
        <v>34</v>
      </c>
      <c r="N248" s="46" t="s">
        <v>105</v>
      </c>
      <c r="O248" s="46" t="s">
        <v>36</v>
      </c>
      <c r="P248" s="46" t="s">
        <v>36</v>
      </c>
      <c r="Q248" s="46" t="s">
        <v>36</v>
      </c>
      <c r="R248" s="45"/>
      <c r="S248" s="45" t="s">
        <v>323</v>
      </c>
      <c r="T248" s="45" t="s">
        <v>324</v>
      </c>
      <c r="U248" s="11" t="s">
        <v>380</v>
      </c>
      <c r="V248" s="12" t="s">
        <v>95</v>
      </c>
      <c r="W248" s="12" t="s">
        <v>46</v>
      </c>
      <c r="X248" s="12" t="s">
        <v>719</v>
      </c>
      <c r="Y248" s="45" t="str">
        <f>HYPERLINK("https://www.stromypodkontrolou.cz/map/tree/d41bce85-5010-4276-b929-4760db78c679/5fbf7e04-030e-44ce-a975-e563e38a8aae")</f>
        <v>https://www.stromypodkontrolou.cz/map/tree/d41bce85-5010-4276-b929-4760db78c679/5fbf7e04-030e-44ce-a975-e563e38a8aae</v>
      </c>
      <c r="Z248" s="45">
        <v>-749822.12096700002</v>
      </c>
      <c r="AA248" s="45">
        <v>-997306.83048100001</v>
      </c>
      <c r="AB248" s="45" t="str">
        <f>HYPERLINK("https://www.mapy.cz?st=search&amp;fr=50.48581874 14.23556686")</f>
        <v>https://www.mapy.cz?st=search&amp;fr=50.48581874 14.23556686</v>
      </c>
      <c r="AC248" s="6">
        <f t="shared" si="54"/>
        <v>286</v>
      </c>
      <c r="AD248" s="6" t="s">
        <v>871</v>
      </c>
      <c r="AE248" s="37"/>
    </row>
    <row r="249" spans="1:31" ht="35.1" customHeight="1" x14ac:dyDescent="0.2">
      <c r="A249" s="47"/>
      <c r="B249" s="46"/>
      <c r="C249" s="48"/>
      <c r="D249" s="49"/>
      <c r="E249" s="45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5"/>
      <c r="S249" s="45"/>
      <c r="T249" s="45"/>
      <c r="U249" s="11" t="s">
        <v>382</v>
      </c>
      <c r="V249" s="12" t="s">
        <v>95</v>
      </c>
      <c r="W249" s="12" t="s">
        <v>46</v>
      </c>
      <c r="X249" s="12"/>
      <c r="Y249" s="45"/>
      <c r="Z249" s="45"/>
      <c r="AA249" s="45"/>
      <c r="AB249" s="45"/>
      <c r="AC249" s="6">
        <f t="shared" si="54"/>
        <v>0</v>
      </c>
      <c r="AD249" s="6" t="s">
        <v>875</v>
      </c>
      <c r="AE249" s="37"/>
    </row>
    <row r="250" spans="1:31" ht="35.1" customHeight="1" x14ac:dyDescent="0.2">
      <c r="A250" s="26" t="s">
        <v>341</v>
      </c>
      <c r="B250" s="12">
        <v>11055</v>
      </c>
      <c r="C250" s="13" t="s">
        <v>722</v>
      </c>
      <c r="D250" s="14" t="s">
        <v>62</v>
      </c>
      <c r="E250" s="11" t="s">
        <v>63</v>
      </c>
      <c r="F250" s="12" t="s">
        <v>207</v>
      </c>
      <c r="G250" s="12" t="s">
        <v>64</v>
      </c>
      <c r="H250" s="12" t="s">
        <v>131</v>
      </c>
      <c r="I250" s="12"/>
      <c r="J250" s="12" t="s">
        <v>99</v>
      </c>
      <c r="K250" s="12" t="s">
        <v>61</v>
      </c>
      <c r="L250" s="12" t="s">
        <v>33</v>
      </c>
      <c r="M250" s="12" t="s">
        <v>34</v>
      </c>
      <c r="N250" s="12" t="s">
        <v>45</v>
      </c>
      <c r="O250" s="12" t="s">
        <v>37</v>
      </c>
      <c r="P250" s="12" t="s">
        <v>37</v>
      </c>
      <c r="Q250" s="12" t="s">
        <v>34</v>
      </c>
      <c r="R250" s="11" t="s">
        <v>158</v>
      </c>
      <c r="S250" s="11" t="s">
        <v>323</v>
      </c>
      <c r="T250" s="11" t="s">
        <v>324</v>
      </c>
      <c r="U250" s="11" t="s">
        <v>384</v>
      </c>
      <c r="V250" s="12" t="s">
        <v>95</v>
      </c>
      <c r="W250" s="12" t="s">
        <v>46</v>
      </c>
      <c r="X250" s="12" t="s">
        <v>406</v>
      </c>
      <c r="Y250" s="11" t="str">
        <f>HYPERLINK("https://www.stromypodkontrolou.cz/map/tree/d41bce85-5010-4276-b929-4760db78c679/1ec3d0b8-c2e5-4522-92d7-b5ac3f532bda")</f>
        <v>https://www.stromypodkontrolou.cz/map/tree/d41bce85-5010-4276-b929-4760db78c679/1ec3d0b8-c2e5-4522-92d7-b5ac3f532bda</v>
      </c>
      <c r="Z250" s="11">
        <v>-749821.61218499998</v>
      </c>
      <c r="AA250" s="11">
        <v>-997289.48265999998</v>
      </c>
      <c r="AB250" s="11" t="str">
        <f>HYPERLINK("https://www.mapy.cz?st=search&amp;fr=50.48597383 14.23554003")</f>
        <v>https://www.mapy.cz?st=search&amp;fr=50.48597383 14.23554003</v>
      </c>
      <c r="AC250" s="6">
        <f t="shared" si="54"/>
        <v>64</v>
      </c>
      <c r="AD250" s="6" t="s">
        <v>865</v>
      </c>
      <c r="AE250" s="37"/>
    </row>
    <row r="251" spans="1:31" ht="35.1" customHeight="1" x14ac:dyDescent="0.2">
      <c r="A251" s="26" t="s">
        <v>341</v>
      </c>
      <c r="B251" s="12">
        <v>11059</v>
      </c>
      <c r="C251" s="13" t="s">
        <v>723</v>
      </c>
      <c r="D251" s="14" t="s">
        <v>128</v>
      </c>
      <c r="E251" s="11" t="s">
        <v>129</v>
      </c>
      <c r="F251" s="12" t="s">
        <v>100</v>
      </c>
      <c r="G251" s="12"/>
      <c r="H251" s="12"/>
      <c r="I251" s="12"/>
      <c r="J251" s="12" t="s">
        <v>79</v>
      </c>
      <c r="K251" s="12" t="s">
        <v>103</v>
      </c>
      <c r="L251" s="12" t="s">
        <v>44</v>
      </c>
      <c r="M251" s="12" t="s">
        <v>37</v>
      </c>
      <c r="N251" s="12" t="s">
        <v>105</v>
      </c>
      <c r="O251" s="12" t="s">
        <v>36</v>
      </c>
      <c r="P251" s="12" t="s">
        <v>36</v>
      </c>
      <c r="Q251" s="12" t="s">
        <v>36</v>
      </c>
      <c r="R251" s="11"/>
      <c r="S251" s="11" t="s">
        <v>323</v>
      </c>
      <c r="T251" s="11" t="s">
        <v>324</v>
      </c>
      <c r="U251" s="11" t="s">
        <v>378</v>
      </c>
      <c r="V251" s="12" t="s">
        <v>95</v>
      </c>
      <c r="W251" s="12" t="s">
        <v>46</v>
      </c>
      <c r="X251" s="12" t="s">
        <v>379</v>
      </c>
      <c r="Y251" s="11" t="str">
        <f>HYPERLINK("https://www.stromypodkontrolou.cz/map/tree/d41bce85-5010-4276-b929-4760db78c679/e17ef784-dcb6-4fab-b55c-c30cdd3afa85")</f>
        <v>https://www.stromypodkontrolou.cz/map/tree/d41bce85-5010-4276-b929-4760db78c679/e17ef784-dcb6-4fab-b55c-c30cdd3afa85</v>
      </c>
      <c r="Z251" s="11">
        <v>-749838.83216500003</v>
      </c>
      <c r="AA251" s="11">
        <v>-997286.35090099997</v>
      </c>
      <c r="AB251" s="11" t="str">
        <f>HYPERLINK("https://www.mapy.cz?st=search&amp;fr=50.48598023 14.23529361")</f>
        <v>https://www.mapy.cz?st=search&amp;fr=50.48598023 14.23529361</v>
      </c>
      <c r="AC251" s="6">
        <f t="shared" si="54"/>
        <v>54</v>
      </c>
      <c r="AD251" s="6" t="s">
        <v>866</v>
      </c>
      <c r="AE251" s="37"/>
    </row>
    <row r="252" spans="1:31" ht="35.1" customHeight="1" x14ac:dyDescent="0.2">
      <c r="A252" s="47" t="s">
        <v>341</v>
      </c>
      <c r="B252" s="46">
        <v>11065</v>
      </c>
      <c r="C252" s="48" t="s">
        <v>724</v>
      </c>
      <c r="D252" s="49" t="s">
        <v>62</v>
      </c>
      <c r="E252" s="45" t="s">
        <v>63</v>
      </c>
      <c r="F252" s="46" t="s">
        <v>98</v>
      </c>
      <c r="G252" s="46"/>
      <c r="H252" s="46"/>
      <c r="I252" s="46"/>
      <c r="J252" s="46" t="s">
        <v>112</v>
      </c>
      <c r="K252" s="46" t="s">
        <v>32</v>
      </c>
      <c r="L252" s="46" t="s">
        <v>33</v>
      </c>
      <c r="M252" s="46" t="s">
        <v>37</v>
      </c>
      <c r="N252" s="46" t="s">
        <v>105</v>
      </c>
      <c r="O252" s="46" t="s">
        <v>46</v>
      </c>
      <c r="P252" s="46" t="s">
        <v>37</v>
      </c>
      <c r="Q252" s="46" t="s">
        <v>37</v>
      </c>
      <c r="R252" s="45" t="s">
        <v>243</v>
      </c>
      <c r="S252" s="45" t="s">
        <v>323</v>
      </c>
      <c r="T252" s="45" t="s">
        <v>342</v>
      </c>
      <c r="U252" s="11" t="s">
        <v>382</v>
      </c>
      <c r="V252" s="12" t="s">
        <v>95</v>
      </c>
      <c r="W252" s="12" t="s">
        <v>46</v>
      </c>
      <c r="X252" s="12"/>
      <c r="Y252" s="45" t="str">
        <f>HYPERLINK("https://www.stromypodkontrolou.cz/map/tree/d41bce85-5010-4276-b929-4760db78c679/d3573716-46a8-4232-ad1f-da4115fd6e60")</f>
        <v>https://www.stromypodkontrolou.cz/map/tree/d41bce85-5010-4276-b929-4760db78c679/d3573716-46a8-4232-ad1f-da4115fd6e60</v>
      </c>
      <c r="Z252" s="45">
        <v>-749833.07553899998</v>
      </c>
      <c r="AA252" s="45">
        <v>-997329.11208200001</v>
      </c>
      <c r="AB252" s="45" t="str">
        <f>HYPERLINK("https://www.mapy.cz?st=search&amp;fr=50.48560670 14.23545756")</f>
        <v>https://www.mapy.cz?st=search&amp;fr=50.48560670 14.23545756</v>
      </c>
      <c r="AC252" s="6">
        <f t="shared" ref="AC252:AC253" si="55">(J252-K252)*L252</f>
        <v>72</v>
      </c>
      <c r="AD252" s="6" t="s">
        <v>870</v>
      </c>
      <c r="AE252" s="37"/>
    </row>
    <row r="253" spans="1:31" ht="35.1" customHeight="1" x14ac:dyDescent="0.2">
      <c r="A253" s="47"/>
      <c r="B253" s="46"/>
      <c r="C253" s="48"/>
      <c r="D253" s="49"/>
      <c r="E253" s="45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5"/>
      <c r="S253" s="45"/>
      <c r="T253" s="45"/>
      <c r="U253" s="11" t="s">
        <v>384</v>
      </c>
      <c r="V253" s="12" t="s">
        <v>95</v>
      </c>
      <c r="W253" s="12" t="s">
        <v>46</v>
      </c>
      <c r="X253" s="12" t="s">
        <v>403</v>
      </c>
      <c r="Y253" s="45"/>
      <c r="Z253" s="45"/>
      <c r="AA253" s="45"/>
      <c r="AB253" s="45"/>
      <c r="AC253" s="6">
        <f t="shared" si="55"/>
        <v>0</v>
      </c>
      <c r="AD253" s="6" t="s">
        <v>865</v>
      </c>
      <c r="AE253" s="37"/>
    </row>
    <row r="254" spans="1:31" ht="35.1" customHeight="1" x14ac:dyDescent="0.2">
      <c r="A254" s="26" t="s">
        <v>341</v>
      </c>
      <c r="B254" s="12">
        <v>11070</v>
      </c>
      <c r="C254" s="13" t="s">
        <v>725</v>
      </c>
      <c r="D254" s="14" t="s">
        <v>96</v>
      </c>
      <c r="E254" s="11" t="s">
        <v>97</v>
      </c>
      <c r="F254" s="12" t="s">
        <v>74</v>
      </c>
      <c r="G254" s="12" t="s">
        <v>136</v>
      </c>
      <c r="H254" s="12"/>
      <c r="I254" s="12"/>
      <c r="J254" s="12" t="s">
        <v>112</v>
      </c>
      <c r="K254" s="12" t="s">
        <v>103</v>
      </c>
      <c r="L254" s="12" t="s">
        <v>50</v>
      </c>
      <c r="M254" s="12" t="s">
        <v>37</v>
      </c>
      <c r="N254" s="12" t="s">
        <v>105</v>
      </c>
      <c r="O254" s="12" t="s">
        <v>36</v>
      </c>
      <c r="P254" s="12" t="s">
        <v>36</v>
      </c>
      <c r="Q254" s="12" t="s">
        <v>37</v>
      </c>
      <c r="R254" s="11"/>
      <c r="S254" s="11" t="s">
        <v>323</v>
      </c>
      <c r="T254" s="11" t="s">
        <v>342</v>
      </c>
      <c r="U254" s="11" t="s">
        <v>380</v>
      </c>
      <c r="V254" s="12"/>
      <c r="W254" s="12" t="s">
        <v>46</v>
      </c>
      <c r="X254" s="12" t="s">
        <v>396</v>
      </c>
      <c r="Y254" s="11" t="str">
        <f>HYPERLINK("https://www.stromypodkontrolou.cz/map/tree/d41bce85-5010-4276-b929-4760db78c679/f261cd6c-f9ba-4a91-acde-f679fe6b6325")</f>
        <v>https://www.stromypodkontrolou.cz/map/tree/d41bce85-5010-4276-b929-4760db78c679/f261cd6c-f9ba-4a91-acde-f679fe6b6325</v>
      </c>
      <c r="Z254" s="11">
        <v>-749832.17923300003</v>
      </c>
      <c r="AA254" s="11">
        <v>-997332.83174000005</v>
      </c>
      <c r="AB254" s="11" t="str">
        <f>HYPERLINK("https://www.mapy.cz?st=search&amp;fr=50.48557470 14.23547734")</f>
        <v>https://www.mapy.cz?st=search&amp;fr=50.48557470 14.23547734</v>
      </c>
      <c r="AC254" s="6">
        <f>(J254-K254)*L254</f>
        <v>70</v>
      </c>
      <c r="AD254" s="6" t="s">
        <v>869</v>
      </c>
      <c r="AE254" s="37"/>
    </row>
    <row r="255" spans="1:31" ht="35.1" customHeight="1" x14ac:dyDescent="0.2">
      <c r="A255" s="47" t="s">
        <v>343</v>
      </c>
      <c r="B255" s="46">
        <v>10672</v>
      </c>
      <c r="C255" s="48" t="s">
        <v>727</v>
      </c>
      <c r="D255" s="49" t="s">
        <v>62</v>
      </c>
      <c r="E255" s="45" t="s">
        <v>63</v>
      </c>
      <c r="F255" s="46" t="s">
        <v>142</v>
      </c>
      <c r="G255" s="46"/>
      <c r="H255" s="46"/>
      <c r="I255" s="46"/>
      <c r="J255" s="46" t="s">
        <v>72</v>
      </c>
      <c r="K255" s="46" t="s">
        <v>61</v>
      </c>
      <c r="L255" s="46" t="s">
        <v>94</v>
      </c>
      <c r="M255" s="46" t="s">
        <v>34</v>
      </c>
      <c r="N255" s="46" t="s">
        <v>105</v>
      </c>
      <c r="O255" s="46" t="s">
        <v>36</v>
      </c>
      <c r="P255" s="46" t="s">
        <v>37</v>
      </c>
      <c r="Q255" s="46" t="s">
        <v>34</v>
      </c>
      <c r="R255" s="45" t="s">
        <v>159</v>
      </c>
      <c r="S255" s="45" t="s">
        <v>336</v>
      </c>
      <c r="T255" s="45" t="s">
        <v>726</v>
      </c>
      <c r="U255" s="11" t="s">
        <v>382</v>
      </c>
      <c r="V255" s="12" t="s">
        <v>95</v>
      </c>
      <c r="W255" s="12" t="s">
        <v>46</v>
      </c>
      <c r="X255" s="12"/>
      <c r="Y255" s="45" t="str">
        <f>HYPERLINK("https://www.stromypodkontrolou.cz/map/tree/d41bce85-5010-4276-b929-4760db78c679/80b37b02-3690-48a9-9997-1cbcda35c188")</f>
        <v>https://www.stromypodkontrolou.cz/map/tree/d41bce85-5010-4276-b929-4760db78c679/80b37b02-3690-48a9-9997-1cbcda35c188</v>
      </c>
      <c r="Z255" s="45">
        <v>-750228.66676299996</v>
      </c>
      <c r="AA255" s="45">
        <v>-998516.30959399999</v>
      </c>
      <c r="AB255" s="45" t="str">
        <f>HYPERLINK("https://www.mapy.cz?st=search&amp;fr=50.47454313 14.23225936")</f>
        <v>https://www.mapy.cz?st=search&amp;fr=50.47454313 14.23225936</v>
      </c>
      <c r="AC255" s="6">
        <f t="shared" ref="AC255:AC256" si="56">(J255-K255)*L255</f>
        <v>195</v>
      </c>
      <c r="AD255" s="6" t="s">
        <v>870</v>
      </c>
      <c r="AE255" s="37"/>
    </row>
    <row r="256" spans="1:31" ht="35.1" customHeight="1" x14ac:dyDescent="0.2">
      <c r="A256" s="47"/>
      <c r="B256" s="46"/>
      <c r="C256" s="48"/>
      <c r="D256" s="49"/>
      <c r="E256" s="45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5"/>
      <c r="S256" s="45"/>
      <c r="T256" s="45"/>
      <c r="U256" s="11" t="s">
        <v>384</v>
      </c>
      <c r="V256" s="12" t="s">
        <v>95</v>
      </c>
      <c r="W256" s="12" t="s">
        <v>46</v>
      </c>
      <c r="X256" s="12" t="s">
        <v>403</v>
      </c>
      <c r="Y256" s="45"/>
      <c r="Z256" s="45"/>
      <c r="AA256" s="45"/>
      <c r="AB256" s="45"/>
      <c r="AC256" s="6">
        <f t="shared" si="56"/>
        <v>0</v>
      </c>
      <c r="AD256" s="6" t="s">
        <v>865</v>
      </c>
      <c r="AE256" s="37"/>
    </row>
    <row r="257" spans="1:31" ht="35.1" customHeight="1" x14ac:dyDescent="0.2">
      <c r="A257" s="26" t="s">
        <v>343</v>
      </c>
      <c r="B257" s="12">
        <v>10677</v>
      </c>
      <c r="C257" s="13" t="s">
        <v>728</v>
      </c>
      <c r="D257" s="14" t="s">
        <v>128</v>
      </c>
      <c r="E257" s="11" t="s">
        <v>129</v>
      </c>
      <c r="F257" s="12" t="s">
        <v>238</v>
      </c>
      <c r="G257" s="12"/>
      <c r="H257" s="12"/>
      <c r="I257" s="12"/>
      <c r="J257" s="12" t="s">
        <v>56</v>
      </c>
      <c r="K257" s="12" t="s">
        <v>51</v>
      </c>
      <c r="L257" s="12" t="s">
        <v>94</v>
      </c>
      <c r="M257" s="12" t="s">
        <v>34</v>
      </c>
      <c r="N257" s="12" t="s">
        <v>105</v>
      </c>
      <c r="O257" s="12" t="s">
        <v>36</v>
      </c>
      <c r="P257" s="12" t="s">
        <v>36</v>
      </c>
      <c r="Q257" s="12" t="s">
        <v>37</v>
      </c>
      <c r="R257" s="11" t="s">
        <v>137</v>
      </c>
      <c r="S257" s="11" t="s">
        <v>336</v>
      </c>
      <c r="T257" s="11" t="s">
        <v>344</v>
      </c>
      <c r="U257" s="11" t="s">
        <v>380</v>
      </c>
      <c r="V257" s="12" t="s">
        <v>95</v>
      </c>
      <c r="W257" s="12" t="s">
        <v>46</v>
      </c>
      <c r="X257" s="12" t="s">
        <v>379</v>
      </c>
      <c r="Y257" s="11" t="str">
        <f>HYPERLINK("https://www.stromypodkontrolou.cz/map/tree/d41bce85-5010-4276-b929-4760db78c679/e0c1cabe-d4ec-458d-919e-78683577745a")</f>
        <v>https://www.stromypodkontrolou.cz/map/tree/d41bce85-5010-4276-b929-4760db78c679/e0c1cabe-d4ec-458d-919e-78683577745a</v>
      </c>
      <c r="Z257" s="11">
        <v>-750252.13276900002</v>
      </c>
      <c r="AA257" s="11">
        <v>-998589.42480299994</v>
      </c>
      <c r="AB257" s="11" t="str">
        <f>HYPERLINK("https://www.mapy.cz?st=search&amp;fr=50.47386288 14.23207496")</f>
        <v>https://www.mapy.cz?st=search&amp;fr=50.47386288 14.23207496</v>
      </c>
      <c r="AC257" s="6">
        <f>(J257-K257)*L257</f>
        <v>130</v>
      </c>
      <c r="AD257" s="6" t="s">
        <v>869</v>
      </c>
      <c r="AE257" s="37"/>
    </row>
    <row r="258" spans="1:31" ht="35.1" customHeight="1" x14ac:dyDescent="0.2">
      <c r="A258" s="26" t="s">
        <v>343</v>
      </c>
      <c r="B258" s="12">
        <v>10686</v>
      </c>
      <c r="C258" s="13" t="s">
        <v>729</v>
      </c>
      <c r="D258" s="14" t="s">
        <v>62</v>
      </c>
      <c r="E258" s="11" t="s">
        <v>63</v>
      </c>
      <c r="F258" s="12"/>
      <c r="G258" s="12" t="s">
        <v>218</v>
      </c>
      <c r="H258" s="12"/>
      <c r="I258" s="12"/>
      <c r="J258" s="12" t="s">
        <v>60</v>
      </c>
      <c r="K258" s="12" t="s">
        <v>103</v>
      </c>
      <c r="L258" s="12" t="s">
        <v>47</v>
      </c>
      <c r="M258" s="12" t="s">
        <v>34</v>
      </c>
      <c r="N258" s="12" t="s">
        <v>105</v>
      </c>
      <c r="O258" s="12" t="s">
        <v>36</v>
      </c>
      <c r="P258" s="12" t="s">
        <v>37</v>
      </c>
      <c r="Q258" s="12" t="s">
        <v>34</v>
      </c>
      <c r="R258" s="11" t="s">
        <v>730</v>
      </c>
      <c r="S258" s="11" t="s">
        <v>336</v>
      </c>
      <c r="T258" s="11" t="s">
        <v>726</v>
      </c>
      <c r="U258" s="11" t="s">
        <v>384</v>
      </c>
      <c r="V258" s="12" t="s">
        <v>95</v>
      </c>
      <c r="W258" s="12" t="s">
        <v>46</v>
      </c>
      <c r="X258" s="12" t="s">
        <v>388</v>
      </c>
      <c r="Y258" s="11" t="str">
        <f>HYPERLINK("https://www.stromypodkontrolou.cz/map/tree/d41bce85-5010-4276-b929-4760db78c679/dd634f4f-8ef5-4e97-a73e-ca5916f30938")</f>
        <v>https://www.stromypodkontrolou.cz/map/tree/d41bce85-5010-4276-b929-4760db78c679/dd634f4f-8ef5-4e97-a73e-ca5916f30938</v>
      </c>
      <c r="Z258" s="11">
        <v>-750248.65908999997</v>
      </c>
      <c r="AA258" s="11">
        <v>-998694.43033</v>
      </c>
      <c r="AB258" s="11" t="str">
        <f>HYPERLINK("https://www.mapy.cz?st=search&amp;fr=50.47293232 14.23232876")</f>
        <v>https://www.mapy.cz?st=search&amp;fr=50.47293232 14.23232876</v>
      </c>
      <c r="AC258" s="6">
        <f>(J258-K258)*L258</f>
        <v>96</v>
      </c>
      <c r="AD258" s="6" t="s">
        <v>865</v>
      </c>
      <c r="AE258" s="37"/>
    </row>
    <row r="259" spans="1:31" ht="35.1" customHeight="1" x14ac:dyDescent="0.2">
      <c r="A259" s="26" t="s">
        <v>343</v>
      </c>
      <c r="B259" s="12">
        <v>10707</v>
      </c>
      <c r="C259" s="13" t="s">
        <v>731</v>
      </c>
      <c r="D259" s="14" t="s">
        <v>128</v>
      </c>
      <c r="E259" s="11" t="s">
        <v>129</v>
      </c>
      <c r="F259" s="12" t="s">
        <v>64</v>
      </c>
      <c r="G259" s="12"/>
      <c r="H259" s="12"/>
      <c r="I259" s="12"/>
      <c r="J259" s="12" t="s">
        <v>72</v>
      </c>
      <c r="K259" s="12" t="s">
        <v>103</v>
      </c>
      <c r="L259" s="12" t="s">
        <v>48</v>
      </c>
      <c r="M259" s="12" t="s">
        <v>37</v>
      </c>
      <c r="N259" s="12" t="s">
        <v>105</v>
      </c>
      <c r="O259" s="12" t="s">
        <v>46</v>
      </c>
      <c r="P259" s="12" t="s">
        <v>36</v>
      </c>
      <c r="Q259" s="12" t="s">
        <v>36</v>
      </c>
      <c r="R259" s="11" t="s">
        <v>114</v>
      </c>
      <c r="S259" s="11" t="s">
        <v>336</v>
      </c>
      <c r="T259" s="11" t="s">
        <v>726</v>
      </c>
      <c r="U259" s="11" t="s">
        <v>378</v>
      </c>
      <c r="V259" s="12" t="s">
        <v>95</v>
      </c>
      <c r="W259" s="12" t="s">
        <v>46</v>
      </c>
      <c r="X259" s="12" t="s">
        <v>379</v>
      </c>
      <c r="Y259" s="11" t="str">
        <f>HYPERLINK("https://www.stromypodkontrolou.cz/map/tree/d41bce85-5010-4276-b929-4760db78c679/7bc7cc50-c218-4f55-8b6a-5b219dda6d92")</f>
        <v>https://www.stromypodkontrolou.cz/map/tree/d41bce85-5010-4276-b929-4760db78c679/7bc7cc50-c218-4f55-8b6a-5b219dda6d92</v>
      </c>
      <c r="Z259" s="11">
        <v>-750267.94045899995</v>
      </c>
      <c r="AA259" s="11">
        <v>-998975.50313299999</v>
      </c>
      <c r="AB259" s="11" t="str">
        <f>HYPERLINK("https://www.mapy.cz?st=search&amp;fr=50.47040578 14.23260939")</f>
        <v>https://www.mapy.cz?st=search&amp;fr=50.47040578 14.23260939</v>
      </c>
      <c r="AC259" s="6">
        <f>(J259-K259)*L259</f>
        <v>140</v>
      </c>
      <c r="AD259" s="6" t="s">
        <v>866</v>
      </c>
      <c r="AE259" s="37"/>
    </row>
    <row r="260" spans="1:31" ht="35.1" customHeight="1" x14ac:dyDescent="0.2">
      <c r="A260" s="26" t="s">
        <v>343</v>
      </c>
      <c r="B260" s="12">
        <v>10711</v>
      </c>
      <c r="C260" s="13" t="s">
        <v>732</v>
      </c>
      <c r="D260" s="14" t="s">
        <v>62</v>
      </c>
      <c r="E260" s="11" t="s">
        <v>63</v>
      </c>
      <c r="F260" s="12" t="s">
        <v>238</v>
      </c>
      <c r="G260" s="12" t="s">
        <v>217</v>
      </c>
      <c r="H260" s="12" t="s">
        <v>81</v>
      </c>
      <c r="I260" s="12" t="s">
        <v>65</v>
      </c>
      <c r="J260" s="12" t="s">
        <v>75</v>
      </c>
      <c r="K260" s="12" t="s">
        <v>32</v>
      </c>
      <c r="L260" s="12" t="s">
        <v>88</v>
      </c>
      <c r="M260" s="12" t="s">
        <v>34</v>
      </c>
      <c r="N260" s="12" t="s">
        <v>105</v>
      </c>
      <c r="O260" s="12" t="s">
        <v>46</v>
      </c>
      <c r="P260" s="12" t="s">
        <v>37</v>
      </c>
      <c r="Q260" s="12" t="s">
        <v>37</v>
      </c>
      <c r="R260" s="11" t="s">
        <v>169</v>
      </c>
      <c r="S260" s="11" t="s">
        <v>336</v>
      </c>
      <c r="T260" s="11" t="s">
        <v>726</v>
      </c>
      <c r="U260" s="11" t="s">
        <v>384</v>
      </c>
      <c r="V260" s="12" t="s">
        <v>95</v>
      </c>
      <c r="W260" s="12" t="s">
        <v>46</v>
      </c>
      <c r="X260" s="12" t="s">
        <v>388</v>
      </c>
      <c r="Y260" s="11" t="str">
        <f>HYPERLINK("https://www.stromypodkontrolou.cz/map/tree/d41bce85-5010-4276-b929-4760db78c679/b6edde0b-2b02-41e0-99ce-609425b8d3a0")</f>
        <v>https://www.stromypodkontrolou.cz/map/tree/d41bce85-5010-4276-b929-4760db78c679/b6edde0b-2b02-41e0-99ce-609425b8d3a0</v>
      </c>
      <c r="Z260" s="11">
        <v>-750270.71386400005</v>
      </c>
      <c r="AA260" s="11">
        <v>-999005.57799500006</v>
      </c>
      <c r="AB260" s="11" t="str">
        <f>HYPERLINK("https://www.mapy.cz?st=search&amp;fr=50.47013456 14.23262950")</f>
        <v>https://www.mapy.cz?st=search&amp;fr=50.47013456 14.23262950</v>
      </c>
      <c r="AC260" s="6">
        <f t="shared" ref="AC260:AC266" si="57">(J260-K260)*L260</f>
        <v>240</v>
      </c>
      <c r="AD260" s="6" t="s">
        <v>865</v>
      </c>
      <c r="AE260" s="37"/>
    </row>
    <row r="261" spans="1:31" ht="35.1" customHeight="1" x14ac:dyDescent="0.2">
      <c r="A261" s="26" t="s">
        <v>343</v>
      </c>
      <c r="B261" s="12">
        <v>10712</v>
      </c>
      <c r="C261" s="13" t="s">
        <v>733</v>
      </c>
      <c r="D261" s="14" t="s">
        <v>128</v>
      </c>
      <c r="E261" s="11" t="s">
        <v>129</v>
      </c>
      <c r="F261" s="12" t="s">
        <v>65</v>
      </c>
      <c r="G261" s="12"/>
      <c r="H261" s="12"/>
      <c r="I261" s="12"/>
      <c r="J261" s="12" t="s">
        <v>75</v>
      </c>
      <c r="K261" s="12" t="s">
        <v>61</v>
      </c>
      <c r="L261" s="12" t="s">
        <v>104</v>
      </c>
      <c r="M261" s="12" t="s">
        <v>37</v>
      </c>
      <c r="N261" s="12" t="s">
        <v>105</v>
      </c>
      <c r="O261" s="12" t="s">
        <v>46</v>
      </c>
      <c r="P261" s="12" t="s">
        <v>36</v>
      </c>
      <c r="Q261" s="12" t="s">
        <v>36</v>
      </c>
      <c r="R261" s="11" t="s">
        <v>114</v>
      </c>
      <c r="S261" s="11" t="s">
        <v>336</v>
      </c>
      <c r="T261" s="11" t="s">
        <v>344</v>
      </c>
      <c r="U261" s="11" t="s">
        <v>380</v>
      </c>
      <c r="V261" s="12" t="s">
        <v>95</v>
      </c>
      <c r="W261" s="12" t="s">
        <v>46</v>
      </c>
      <c r="X261" s="12" t="s">
        <v>379</v>
      </c>
      <c r="Y261" s="11" t="str">
        <f>HYPERLINK("https://www.stromypodkontrolou.cz/map/tree/d41bce85-5010-4276-b929-4760db78c679/e3b29676-ed16-4dd9-a4ef-716c4d5d3aaa")</f>
        <v>https://www.stromypodkontrolou.cz/map/tree/d41bce85-5010-4276-b929-4760db78c679/e3b29676-ed16-4dd9-a4ef-716c4d5d3aaa</v>
      </c>
      <c r="Z261" s="11">
        <v>-750280.84249299997</v>
      </c>
      <c r="AA261" s="11">
        <v>-999102.18946899998</v>
      </c>
      <c r="AB261" s="11" t="str">
        <f>HYPERLINK("https://www.mapy.cz?st=search&amp;fr=50.46926176 14.23267711")</f>
        <v>https://www.mapy.cz?st=search&amp;fr=50.46926176 14.23267711</v>
      </c>
      <c r="AC261" s="6">
        <f t="shared" si="57"/>
        <v>154</v>
      </c>
      <c r="AD261" s="6" t="s">
        <v>869</v>
      </c>
      <c r="AE261" s="37"/>
    </row>
    <row r="262" spans="1:31" ht="35.1" customHeight="1" x14ac:dyDescent="0.2">
      <c r="A262" s="26" t="s">
        <v>343</v>
      </c>
      <c r="B262" s="12">
        <v>10713</v>
      </c>
      <c r="C262" s="13" t="s">
        <v>734</v>
      </c>
      <c r="D262" s="14" t="s">
        <v>128</v>
      </c>
      <c r="E262" s="11" t="s">
        <v>129</v>
      </c>
      <c r="F262" s="12" t="s">
        <v>100</v>
      </c>
      <c r="G262" s="12"/>
      <c r="H262" s="12"/>
      <c r="I262" s="12"/>
      <c r="J262" s="12" t="s">
        <v>90</v>
      </c>
      <c r="K262" s="12" t="s">
        <v>61</v>
      </c>
      <c r="L262" s="12" t="s">
        <v>48</v>
      </c>
      <c r="M262" s="12" t="s">
        <v>37</v>
      </c>
      <c r="N262" s="12" t="s">
        <v>105</v>
      </c>
      <c r="O262" s="12" t="s">
        <v>46</v>
      </c>
      <c r="P262" s="12" t="s">
        <v>36</v>
      </c>
      <c r="Q262" s="12" t="s">
        <v>36</v>
      </c>
      <c r="R262" s="11" t="s">
        <v>114</v>
      </c>
      <c r="S262" s="11" t="s">
        <v>336</v>
      </c>
      <c r="T262" s="11" t="s">
        <v>344</v>
      </c>
      <c r="U262" s="11" t="s">
        <v>380</v>
      </c>
      <c r="V262" s="12" t="s">
        <v>95</v>
      </c>
      <c r="W262" s="12" t="s">
        <v>46</v>
      </c>
      <c r="X262" s="12" t="s">
        <v>379</v>
      </c>
      <c r="Y262" s="11" t="str">
        <f>HYPERLINK("https://www.stromypodkontrolou.cz/map/tree/d41bce85-5010-4276-b929-4760db78c679/0f9f7e45-292b-4e63-8117-2e63d37cc6b6")</f>
        <v>https://www.stromypodkontrolou.cz/map/tree/d41bce85-5010-4276-b929-4760db78c679/0f9f7e45-292b-4e63-8117-2e63d37cc6b6</v>
      </c>
      <c r="Z262" s="11">
        <v>-750282.349758</v>
      </c>
      <c r="AA262" s="11">
        <v>-999107.97038700001</v>
      </c>
      <c r="AB262" s="11" t="str">
        <f>HYPERLINK("https://www.mapy.cz?st=search&amp;fr=50.46920841 14.23266739")</f>
        <v>https://www.mapy.cz?st=search&amp;fr=50.46920841 14.23266739</v>
      </c>
      <c r="AC262" s="6">
        <f t="shared" si="57"/>
        <v>120</v>
      </c>
      <c r="AD262" s="6" t="s">
        <v>869</v>
      </c>
      <c r="AE262" s="37"/>
    </row>
    <row r="263" spans="1:31" ht="35.1" customHeight="1" x14ac:dyDescent="0.2">
      <c r="A263" s="26" t="s">
        <v>343</v>
      </c>
      <c r="B263" s="12">
        <v>10714</v>
      </c>
      <c r="C263" s="13" t="s">
        <v>735</v>
      </c>
      <c r="D263" s="14" t="s">
        <v>62</v>
      </c>
      <c r="E263" s="11" t="s">
        <v>63</v>
      </c>
      <c r="F263" s="12" t="s">
        <v>123</v>
      </c>
      <c r="G263" s="12"/>
      <c r="H263" s="12"/>
      <c r="I263" s="12"/>
      <c r="J263" s="12" t="s">
        <v>112</v>
      </c>
      <c r="K263" s="12" t="s">
        <v>103</v>
      </c>
      <c r="L263" s="12" t="s">
        <v>49</v>
      </c>
      <c r="M263" s="12" t="s">
        <v>37</v>
      </c>
      <c r="N263" s="12" t="s">
        <v>105</v>
      </c>
      <c r="O263" s="12" t="s">
        <v>46</v>
      </c>
      <c r="P263" s="12" t="s">
        <v>36</v>
      </c>
      <c r="Q263" s="12" t="s">
        <v>37</v>
      </c>
      <c r="R263" s="11" t="s">
        <v>158</v>
      </c>
      <c r="S263" s="11" t="s">
        <v>336</v>
      </c>
      <c r="T263" s="11" t="s">
        <v>726</v>
      </c>
      <c r="U263" s="11" t="s">
        <v>384</v>
      </c>
      <c r="V263" s="12"/>
      <c r="W263" s="12" t="s">
        <v>46</v>
      </c>
      <c r="X263" s="12" t="s">
        <v>403</v>
      </c>
      <c r="Y263" s="11" t="str">
        <f>HYPERLINK("https://www.stromypodkontrolou.cz/map/tree/d41bce85-5010-4276-b929-4760db78c679/b807fbbb-b036-41c6-840f-64593747b277")</f>
        <v>https://www.stromypodkontrolou.cz/map/tree/d41bce85-5010-4276-b929-4760db78c679/b807fbbb-b036-41c6-840f-64593747b277</v>
      </c>
      <c r="Z263" s="11">
        <v>-750276.854482</v>
      </c>
      <c r="AA263" s="11">
        <v>-999147.64201800001</v>
      </c>
      <c r="AB263" s="11" t="str">
        <f>HYPERLINK("https://www.mapy.cz?st=search&amp;fr=50.46886206 14.23282162")</f>
        <v>https://www.mapy.cz?st=search&amp;fr=50.46886206 14.23282162</v>
      </c>
      <c r="AC263" s="6">
        <f t="shared" si="57"/>
        <v>90</v>
      </c>
      <c r="AD263" s="6" t="s">
        <v>865</v>
      </c>
      <c r="AE263" s="37"/>
    </row>
    <row r="264" spans="1:31" ht="35.1" customHeight="1" x14ac:dyDescent="0.2">
      <c r="A264" s="26" t="s">
        <v>343</v>
      </c>
      <c r="B264" s="12">
        <v>10716</v>
      </c>
      <c r="C264" s="13" t="s">
        <v>736</v>
      </c>
      <c r="D264" s="14" t="s">
        <v>62</v>
      </c>
      <c r="E264" s="11" t="s">
        <v>63</v>
      </c>
      <c r="F264" s="12" t="s">
        <v>228</v>
      </c>
      <c r="G264" s="12"/>
      <c r="H264" s="12"/>
      <c r="I264" s="12"/>
      <c r="J264" s="12" t="s">
        <v>42</v>
      </c>
      <c r="K264" s="12" t="s">
        <v>61</v>
      </c>
      <c r="L264" s="12" t="s">
        <v>33</v>
      </c>
      <c r="M264" s="12" t="s">
        <v>34</v>
      </c>
      <c r="N264" s="12" t="s">
        <v>105</v>
      </c>
      <c r="O264" s="12" t="s">
        <v>36</v>
      </c>
      <c r="P264" s="12" t="s">
        <v>37</v>
      </c>
      <c r="Q264" s="12" t="s">
        <v>37</v>
      </c>
      <c r="R264" s="11" t="s">
        <v>243</v>
      </c>
      <c r="S264" s="11" t="s">
        <v>336</v>
      </c>
      <c r="T264" s="11" t="s">
        <v>726</v>
      </c>
      <c r="U264" s="11" t="s">
        <v>384</v>
      </c>
      <c r="V264" s="12"/>
      <c r="W264" s="12" t="s">
        <v>46</v>
      </c>
      <c r="X264" s="12" t="s">
        <v>388</v>
      </c>
      <c r="Y264" s="11" t="str">
        <f>HYPERLINK("https://www.stromypodkontrolou.cz/map/tree/d41bce85-5010-4276-b929-4760db78c679/84b86245-873f-487a-8eed-07dee033983f")</f>
        <v>https://www.stromypodkontrolou.cz/map/tree/d41bce85-5010-4276-b929-4760db78c679/84b86245-873f-487a-8eed-07dee033983f</v>
      </c>
      <c r="Z264" s="11">
        <v>-750277.91087899997</v>
      </c>
      <c r="AA264" s="11">
        <v>-999147.80554700003</v>
      </c>
      <c r="AB264" s="11" t="str">
        <f>HYPERLINK("https://www.mapy.cz?st=search&amp;fr=50.46885928 14.23280720")</f>
        <v>https://www.mapy.cz?st=search&amp;fr=50.46885928 14.23280720</v>
      </c>
      <c r="AC264" s="6">
        <f t="shared" si="57"/>
        <v>56</v>
      </c>
      <c r="AD264" s="6" t="s">
        <v>865</v>
      </c>
      <c r="AE264" s="37"/>
    </row>
    <row r="265" spans="1:31" ht="35.1" customHeight="1" x14ac:dyDescent="0.2">
      <c r="A265" s="26" t="s">
        <v>343</v>
      </c>
      <c r="B265" s="12">
        <v>10717</v>
      </c>
      <c r="C265" s="13" t="s">
        <v>737</v>
      </c>
      <c r="D265" s="14" t="s">
        <v>62</v>
      </c>
      <c r="E265" s="11" t="s">
        <v>63</v>
      </c>
      <c r="F265" s="12" t="s">
        <v>81</v>
      </c>
      <c r="G265" s="12"/>
      <c r="H265" s="12"/>
      <c r="I265" s="12"/>
      <c r="J265" s="12" t="s">
        <v>144</v>
      </c>
      <c r="K265" s="12" t="s">
        <v>61</v>
      </c>
      <c r="L265" s="12" t="s">
        <v>33</v>
      </c>
      <c r="M265" s="12" t="s">
        <v>34</v>
      </c>
      <c r="N265" s="12" t="s">
        <v>45</v>
      </c>
      <c r="O265" s="12" t="s">
        <v>36</v>
      </c>
      <c r="P265" s="12" t="s">
        <v>37</v>
      </c>
      <c r="Q265" s="12" t="s">
        <v>34</v>
      </c>
      <c r="R265" s="11" t="s">
        <v>738</v>
      </c>
      <c r="S265" s="11" t="s">
        <v>336</v>
      </c>
      <c r="T265" s="11" t="s">
        <v>726</v>
      </c>
      <c r="U265" s="11" t="s">
        <v>384</v>
      </c>
      <c r="V265" s="12"/>
      <c r="W265" s="12" t="s">
        <v>46</v>
      </c>
      <c r="X265" s="12" t="s">
        <v>406</v>
      </c>
      <c r="Y265" s="11" t="str">
        <f>HYPERLINK("https://www.stromypodkontrolou.cz/map/tree/d41bce85-5010-4276-b929-4760db78c679/ed608918-c62f-4388-bcbc-b2438d861581")</f>
        <v>https://www.stromypodkontrolou.cz/map/tree/d41bce85-5010-4276-b929-4760db78c679/ed608918-c62f-4388-bcbc-b2438d861581</v>
      </c>
      <c r="Z265" s="11">
        <v>-750277.18575399998</v>
      </c>
      <c r="AA265" s="11">
        <v>-999146.06157699996</v>
      </c>
      <c r="AB265" s="11" t="str">
        <f>HYPERLINK("https://www.mapy.cz?st=search&amp;fr=50.46887571 14.23281390")</f>
        <v>https://www.mapy.cz?st=search&amp;fr=50.46887571 14.23281390</v>
      </c>
      <c r="AC265" s="6">
        <f t="shared" si="57"/>
        <v>40</v>
      </c>
      <c r="AD265" s="6" t="s">
        <v>865</v>
      </c>
      <c r="AE265" s="37"/>
    </row>
    <row r="266" spans="1:31" ht="35.1" customHeight="1" x14ac:dyDescent="0.2">
      <c r="A266" s="26" t="s">
        <v>343</v>
      </c>
      <c r="B266" s="12">
        <v>10718</v>
      </c>
      <c r="C266" s="13" t="s">
        <v>739</v>
      </c>
      <c r="D266" s="14" t="s">
        <v>62</v>
      </c>
      <c r="E266" s="11" t="s">
        <v>63</v>
      </c>
      <c r="F266" s="12" t="s">
        <v>98</v>
      </c>
      <c r="G266" s="12" t="s">
        <v>100</v>
      </c>
      <c r="H266" s="12"/>
      <c r="I266" s="12"/>
      <c r="J266" s="12" t="s">
        <v>90</v>
      </c>
      <c r="K266" s="12" t="s">
        <v>61</v>
      </c>
      <c r="L266" s="12" t="s">
        <v>49</v>
      </c>
      <c r="M266" s="12" t="s">
        <v>37</v>
      </c>
      <c r="N266" s="12" t="s">
        <v>45</v>
      </c>
      <c r="O266" s="12" t="s">
        <v>36</v>
      </c>
      <c r="P266" s="12" t="s">
        <v>37</v>
      </c>
      <c r="Q266" s="12" t="s">
        <v>34</v>
      </c>
      <c r="R266" s="11" t="s">
        <v>159</v>
      </c>
      <c r="S266" s="11" t="s">
        <v>336</v>
      </c>
      <c r="T266" s="11" t="s">
        <v>726</v>
      </c>
      <c r="U266" s="11" t="s">
        <v>384</v>
      </c>
      <c r="V266" s="12"/>
      <c r="W266" s="12" t="s">
        <v>46</v>
      </c>
      <c r="X266" s="12" t="s">
        <v>406</v>
      </c>
      <c r="Y266" s="11" t="str">
        <f>HYPERLINK("https://www.stromypodkontrolou.cz/map/tree/d41bce85-5010-4276-b929-4760db78c679/da789356-6de3-4233-85af-68346f899a31")</f>
        <v>https://www.stromypodkontrolou.cz/map/tree/d41bce85-5010-4276-b929-4760db78c679/da789356-6de3-4233-85af-68346f899a31</v>
      </c>
      <c r="Z266" s="11">
        <v>-750277.89006400004</v>
      </c>
      <c r="AA266" s="11">
        <v>-999154.687546</v>
      </c>
      <c r="AB266" s="11" t="str">
        <f>HYPERLINK("https://www.mapy.cz?st=search&amp;fr=50.46879804 14.23282095")</f>
        <v>https://www.mapy.cz?st=search&amp;fr=50.46879804 14.23282095</v>
      </c>
      <c r="AC266" s="6">
        <f t="shared" si="57"/>
        <v>108</v>
      </c>
      <c r="AD266" s="6" t="s">
        <v>865</v>
      </c>
      <c r="AE266" s="37"/>
    </row>
    <row r="267" spans="1:31" ht="35.1" customHeight="1" x14ac:dyDescent="0.2">
      <c r="A267" s="26" t="s">
        <v>343</v>
      </c>
      <c r="B267" s="12">
        <v>10723</v>
      </c>
      <c r="C267" s="13" t="s">
        <v>740</v>
      </c>
      <c r="D267" s="14" t="s">
        <v>62</v>
      </c>
      <c r="E267" s="11" t="s">
        <v>63</v>
      </c>
      <c r="F267" s="12" t="s">
        <v>179</v>
      </c>
      <c r="G267" s="12"/>
      <c r="H267" s="12"/>
      <c r="I267" s="12"/>
      <c r="J267" s="12" t="s">
        <v>79</v>
      </c>
      <c r="K267" s="12" t="s">
        <v>103</v>
      </c>
      <c r="L267" s="12" t="s">
        <v>49</v>
      </c>
      <c r="M267" s="12" t="s">
        <v>34</v>
      </c>
      <c r="N267" s="12" t="s">
        <v>35</v>
      </c>
      <c r="O267" s="12" t="s">
        <v>36</v>
      </c>
      <c r="P267" s="12" t="s">
        <v>37</v>
      </c>
      <c r="Q267" s="12" t="s">
        <v>95</v>
      </c>
      <c r="R267" s="11" t="s">
        <v>275</v>
      </c>
      <c r="S267" s="11" t="s">
        <v>336</v>
      </c>
      <c r="T267" s="11" t="s">
        <v>726</v>
      </c>
      <c r="U267" s="11" t="s">
        <v>384</v>
      </c>
      <c r="V267" s="12"/>
      <c r="W267" s="12" t="s">
        <v>46</v>
      </c>
      <c r="X267" s="12" t="s">
        <v>741</v>
      </c>
      <c r="Y267" s="11" t="str">
        <f>HYPERLINK("https://www.stromypodkontrolou.cz/map/tree/d41bce85-5010-4276-b929-4760db78c679/e9309e7d-d753-4bcb-98ad-407e47d7642d")</f>
        <v>https://www.stromypodkontrolou.cz/map/tree/d41bce85-5010-4276-b929-4760db78c679/e9309e7d-d753-4bcb-98ad-407e47d7642d</v>
      </c>
      <c r="Z267" s="11">
        <v>-750281.40177800006</v>
      </c>
      <c r="AA267" s="11">
        <v>-999188.83056399995</v>
      </c>
      <c r="AB267" s="11" t="str">
        <f>HYPERLINK("https://www.mapy.cz?st=search&amp;fr=50.46848967 14.23283871")</f>
        <v>https://www.mapy.cz?st=search&amp;fr=50.46848967 14.23283871</v>
      </c>
      <c r="AC267" s="6">
        <f>(J267-K267)*L267</f>
        <v>81</v>
      </c>
      <c r="AD267" s="6" t="s">
        <v>865</v>
      </c>
      <c r="AE267" s="37"/>
    </row>
    <row r="268" spans="1:31" ht="35.1" customHeight="1" x14ac:dyDescent="0.2">
      <c r="A268" s="26" t="s">
        <v>343</v>
      </c>
      <c r="B268" s="12">
        <v>10732</v>
      </c>
      <c r="C268" s="13" t="s">
        <v>742</v>
      </c>
      <c r="D268" s="14" t="s">
        <v>173</v>
      </c>
      <c r="E268" s="11" t="s">
        <v>174</v>
      </c>
      <c r="F268" s="12" t="s">
        <v>108</v>
      </c>
      <c r="G268" s="12"/>
      <c r="H268" s="12"/>
      <c r="I268" s="12"/>
      <c r="J268" s="12" t="s">
        <v>79</v>
      </c>
      <c r="K268" s="12" t="s">
        <v>103</v>
      </c>
      <c r="L268" s="12" t="s">
        <v>33</v>
      </c>
      <c r="M268" s="12" t="s">
        <v>37</v>
      </c>
      <c r="N268" s="12" t="s">
        <v>105</v>
      </c>
      <c r="O268" s="12" t="s">
        <v>46</v>
      </c>
      <c r="P268" s="12" t="s">
        <v>46</v>
      </c>
      <c r="Q268" s="12" t="s">
        <v>36</v>
      </c>
      <c r="R268" s="11" t="s">
        <v>114</v>
      </c>
      <c r="S268" s="11" t="s">
        <v>336</v>
      </c>
      <c r="T268" s="11" t="s">
        <v>344</v>
      </c>
      <c r="U268" s="11" t="s">
        <v>378</v>
      </c>
      <c r="V268" s="12" t="s">
        <v>95</v>
      </c>
      <c r="W268" s="12" t="s">
        <v>46</v>
      </c>
      <c r="X268" s="12" t="s">
        <v>379</v>
      </c>
      <c r="Y268" s="11" t="str">
        <f>HYPERLINK("https://www.stromypodkontrolou.cz/map/tree/d41bce85-5010-4276-b929-4760db78c679/5488525d-7e5b-4943-a93f-67d4c75cf96c")</f>
        <v>https://www.stromypodkontrolou.cz/map/tree/d41bce85-5010-4276-b929-4760db78c679/5488525d-7e5b-4943-a93f-67d4c75cf96c</v>
      </c>
      <c r="Z268" s="11">
        <v>-750272.74524900003</v>
      </c>
      <c r="AA268" s="11">
        <v>-998857.86636400002</v>
      </c>
      <c r="AB268" s="11" t="str">
        <f>HYPERLINK("https://www.mapy.cz?st=search&amp;fr=50.47144714 14.23231233")</f>
        <v>https://www.mapy.cz?st=search&amp;fr=50.47144714 14.23231233</v>
      </c>
      <c r="AC268" s="6">
        <f t="shared" ref="AC268:AC269" si="58">(J268-K268)*L268</f>
        <v>72</v>
      </c>
      <c r="AD268" s="6" t="s">
        <v>866</v>
      </c>
      <c r="AE268" s="37"/>
    </row>
    <row r="269" spans="1:31" ht="35.1" customHeight="1" x14ac:dyDescent="0.2">
      <c r="A269" s="26" t="s">
        <v>343</v>
      </c>
      <c r="B269" s="12">
        <v>10733</v>
      </c>
      <c r="C269" s="13" t="s">
        <v>743</v>
      </c>
      <c r="D269" s="14" t="s">
        <v>173</v>
      </c>
      <c r="E269" s="11" t="s">
        <v>174</v>
      </c>
      <c r="F269" s="12" t="s">
        <v>101</v>
      </c>
      <c r="G269" s="12"/>
      <c r="H269" s="12"/>
      <c r="I269" s="12"/>
      <c r="J269" s="12" t="s">
        <v>79</v>
      </c>
      <c r="K269" s="12" t="s">
        <v>103</v>
      </c>
      <c r="L269" s="12" t="s">
        <v>33</v>
      </c>
      <c r="M269" s="12" t="s">
        <v>37</v>
      </c>
      <c r="N269" s="12" t="s">
        <v>105</v>
      </c>
      <c r="O269" s="12" t="s">
        <v>46</v>
      </c>
      <c r="P269" s="12" t="s">
        <v>46</v>
      </c>
      <c r="Q269" s="12" t="s">
        <v>36</v>
      </c>
      <c r="R269" s="11" t="s">
        <v>744</v>
      </c>
      <c r="S269" s="11" t="s">
        <v>336</v>
      </c>
      <c r="T269" s="11" t="s">
        <v>344</v>
      </c>
      <c r="U269" s="11" t="s">
        <v>378</v>
      </c>
      <c r="V269" s="12" t="s">
        <v>95</v>
      </c>
      <c r="W269" s="12" t="s">
        <v>46</v>
      </c>
      <c r="X269" s="12" t="s">
        <v>379</v>
      </c>
      <c r="Y269" s="11" t="str">
        <f>HYPERLINK("https://www.stromypodkontrolou.cz/map/tree/d41bce85-5010-4276-b929-4760db78c679/80790dd5-ac8b-45a8-8164-ddeedddc50be")</f>
        <v>https://www.stromypodkontrolou.cz/map/tree/d41bce85-5010-4276-b929-4760db78c679/80790dd5-ac8b-45a8-8164-ddeedddc50be</v>
      </c>
      <c r="Z269" s="11">
        <v>-750272.83494700002</v>
      </c>
      <c r="AA269" s="11">
        <v>-998848.21880999999</v>
      </c>
      <c r="AB269" s="11" t="str">
        <f>HYPERLINK("https://www.mapy.cz?st=search&amp;fr=50.47153292 14.23229221")</f>
        <v>https://www.mapy.cz?st=search&amp;fr=50.47153292 14.23229221</v>
      </c>
      <c r="AC269" s="6">
        <f t="shared" si="58"/>
        <v>72</v>
      </c>
      <c r="AD269" s="6" t="s">
        <v>866</v>
      </c>
      <c r="AE269" s="37"/>
    </row>
    <row r="270" spans="1:31" ht="35.1" customHeight="1" x14ac:dyDescent="0.2">
      <c r="A270" s="26" t="s">
        <v>345</v>
      </c>
      <c r="B270" s="12">
        <v>11035</v>
      </c>
      <c r="C270" s="13" t="s">
        <v>745</v>
      </c>
      <c r="D270" s="14" t="s">
        <v>28</v>
      </c>
      <c r="E270" s="11" t="s">
        <v>29</v>
      </c>
      <c r="F270" s="12" t="s">
        <v>220</v>
      </c>
      <c r="G270" s="12"/>
      <c r="H270" s="12"/>
      <c r="I270" s="12"/>
      <c r="J270" s="12" t="s">
        <v>161</v>
      </c>
      <c r="K270" s="12" t="s">
        <v>51</v>
      </c>
      <c r="L270" s="12" t="s">
        <v>104</v>
      </c>
      <c r="M270" s="12" t="s">
        <v>34</v>
      </c>
      <c r="N270" s="12" t="s">
        <v>105</v>
      </c>
      <c r="O270" s="12" t="s">
        <v>36</v>
      </c>
      <c r="P270" s="12" t="s">
        <v>36</v>
      </c>
      <c r="Q270" s="12" t="s">
        <v>36</v>
      </c>
      <c r="R270" s="11" t="s">
        <v>200</v>
      </c>
      <c r="S270" s="11" t="s">
        <v>323</v>
      </c>
      <c r="T270" s="11" t="s">
        <v>346</v>
      </c>
      <c r="U270" s="11" t="s">
        <v>384</v>
      </c>
      <c r="V270" s="12"/>
      <c r="W270" s="12" t="s">
        <v>46</v>
      </c>
      <c r="X270" s="12" t="s">
        <v>388</v>
      </c>
      <c r="Y270" s="11" t="str">
        <f>HYPERLINK("https://www.stromypodkontrolou.cz/map/tree/d41bce85-5010-4276-b929-4760db78c679/c51422e0-18e2-4e34-ab12-cfa58bb47c01")</f>
        <v>https://www.stromypodkontrolou.cz/map/tree/d41bce85-5010-4276-b929-4760db78c679/c51422e0-18e2-4e34-ab12-cfa58bb47c01</v>
      </c>
      <c r="Z270" s="11">
        <v>-750007.95959999994</v>
      </c>
      <c r="AA270" s="11">
        <v>-998504.79763599997</v>
      </c>
      <c r="AB270" s="11" t="str">
        <f>HYPERLINK("https://www.mapy.cz?st=search&amp;fr=50.47492102 14.23531607")</f>
        <v>https://www.mapy.cz?st=search&amp;fr=50.47492102 14.23531607</v>
      </c>
      <c r="AC270" s="6">
        <f>(J270-K270)*L270</f>
        <v>220</v>
      </c>
      <c r="AD270" s="6" t="s">
        <v>865</v>
      </c>
      <c r="AE270" s="37"/>
    </row>
    <row r="271" spans="1:31" ht="35.1" customHeight="1" x14ac:dyDescent="0.2">
      <c r="A271" s="26" t="s">
        <v>347</v>
      </c>
      <c r="B271" s="12">
        <v>15017</v>
      </c>
      <c r="C271" s="13" t="s">
        <v>746</v>
      </c>
      <c r="D271" s="14" t="s">
        <v>133</v>
      </c>
      <c r="E271" s="11" t="s">
        <v>134</v>
      </c>
      <c r="F271" s="12" t="s">
        <v>211</v>
      </c>
      <c r="G271" s="12"/>
      <c r="H271" s="12"/>
      <c r="I271" s="12"/>
      <c r="J271" s="12" t="s">
        <v>75</v>
      </c>
      <c r="K271" s="12" t="s">
        <v>61</v>
      </c>
      <c r="L271" s="12" t="s">
        <v>118</v>
      </c>
      <c r="M271" s="12" t="s">
        <v>34</v>
      </c>
      <c r="N271" s="12" t="s">
        <v>105</v>
      </c>
      <c r="O271" s="12" t="s">
        <v>46</v>
      </c>
      <c r="P271" s="12" t="s">
        <v>37</v>
      </c>
      <c r="Q271" s="12" t="s">
        <v>37</v>
      </c>
      <c r="R271" s="11" t="s">
        <v>747</v>
      </c>
      <c r="S271" s="11" t="s">
        <v>348</v>
      </c>
      <c r="T271" s="11" t="s">
        <v>349</v>
      </c>
      <c r="U271" s="11" t="s">
        <v>384</v>
      </c>
      <c r="V271" s="12" t="s">
        <v>95</v>
      </c>
      <c r="W271" s="12" t="s">
        <v>46</v>
      </c>
      <c r="X271" s="12"/>
      <c r="Y271" s="11" t="str">
        <f>HYPERLINK("https://www.stromypodkontrolou.cz/map/tree/d41bce85-5010-4276-b929-4760db78c679/ae286f71-f2ee-4fd3-b46c-4e9debcc19a7")</f>
        <v>https://www.stromypodkontrolou.cz/map/tree/d41bce85-5010-4276-b929-4760db78c679/ae286f71-f2ee-4fd3-b46c-4e9debcc19a7</v>
      </c>
      <c r="Z271" s="11">
        <v>-758999.98633500002</v>
      </c>
      <c r="AA271" s="11">
        <v>-980759.26907799998</v>
      </c>
      <c r="AB271" s="11" t="str">
        <f>HYPERLINK("https://www.mapy.cz?st=search&amp;fr=50.62158475 14.07467522")</f>
        <v>https://www.mapy.cz?st=search&amp;fr=50.62158475 14.07467522</v>
      </c>
      <c r="AC271" s="6">
        <f t="shared" ref="AC271:AC274" si="59">(J271-K271)*L271</f>
        <v>210</v>
      </c>
      <c r="AD271" s="6" t="s">
        <v>865</v>
      </c>
      <c r="AE271" s="37"/>
    </row>
    <row r="272" spans="1:31" ht="35.1" customHeight="1" x14ac:dyDescent="0.2">
      <c r="A272" s="26" t="s">
        <v>347</v>
      </c>
      <c r="B272" s="12">
        <v>15020</v>
      </c>
      <c r="C272" s="13" t="s">
        <v>748</v>
      </c>
      <c r="D272" s="14" t="s">
        <v>133</v>
      </c>
      <c r="E272" s="11" t="s">
        <v>134</v>
      </c>
      <c r="F272" s="12" t="s">
        <v>228</v>
      </c>
      <c r="G272" s="12" t="s">
        <v>130</v>
      </c>
      <c r="H272" s="12" t="s">
        <v>131</v>
      </c>
      <c r="I272" s="12" t="s">
        <v>98</v>
      </c>
      <c r="J272" s="12" t="s">
        <v>90</v>
      </c>
      <c r="K272" s="12" t="s">
        <v>43</v>
      </c>
      <c r="L272" s="12" t="s">
        <v>48</v>
      </c>
      <c r="M272" s="12" t="s">
        <v>34</v>
      </c>
      <c r="N272" s="12" t="s">
        <v>105</v>
      </c>
      <c r="O272" s="12" t="s">
        <v>46</v>
      </c>
      <c r="P272" s="12" t="s">
        <v>36</v>
      </c>
      <c r="Q272" s="12" t="s">
        <v>36</v>
      </c>
      <c r="R272" s="11" t="s">
        <v>749</v>
      </c>
      <c r="S272" s="11" t="s">
        <v>348</v>
      </c>
      <c r="T272" s="11" t="s">
        <v>350</v>
      </c>
      <c r="U272" s="11" t="s">
        <v>432</v>
      </c>
      <c r="V272" s="12" t="s">
        <v>36</v>
      </c>
      <c r="W272" s="12" t="s">
        <v>46</v>
      </c>
      <c r="X272" s="12"/>
      <c r="Y272" s="11" t="str">
        <f>HYPERLINK("https://www.stromypodkontrolou.cz/map/tree/d41bce85-5010-4276-b929-4760db78c679/5a74d02f-e9fe-47fe-903b-f1d9b3340384")</f>
        <v>https://www.stromypodkontrolou.cz/map/tree/d41bce85-5010-4276-b929-4760db78c679/5a74d02f-e9fe-47fe-903b-f1d9b3340384</v>
      </c>
      <c r="Z272" s="11">
        <v>-759013.56169799995</v>
      </c>
      <c r="AA272" s="11">
        <v>-980703.27685200004</v>
      </c>
      <c r="AB272" s="11" t="str">
        <f>HYPERLINK("https://www.mapy.cz?st=search&amp;fr=50.62206590 14.07437381")</f>
        <v>https://www.mapy.cz?st=search&amp;fr=50.62206590 14.07437381</v>
      </c>
      <c r="AC272" s="6">
        <f t="shared" si="59"/>
        <v>130</v>
      </c>
      <c r="AD272" s="6" t="s">
        <v>873</v>
      </c>
      <c r="AE272" s="37"/>
    </row>
    <row r="273" spans="1:31" ht="35.1" customHeight="1" x14ac:dyDescent="0.2">
      <c r="A273" s="26" t="s">
        <v>347</v>
      </c>
      <c r="B273" s="12">
        <v>15021</v>
      </c>
      <c r="C273" s="13" t="s">
        <v>750</v>
      </c>
      <c r="D273" s="14" t="s">
        <v>133</v>
      </c>
      <c r="E273" s="11" t="s">
        <v>134</v>
      </c>
      <c r="F273" s="12" t="s">
        <v>152</v>
      </c>
      <c r="G273" s="12"/>
      <c r="H273" s="12"/>
      <c r="I273" s="12"/>
      <c r="J273" s="12" t="s">
        <v>112</v>
      </c>
      <c r="K273" s="12" t="s">
        <v>61</v>
      </c>
      <c r="L273" s="12" t="s">
        <v>33</v>
      </c>
      <c r="M273" s="12" t="s">
        <v>34</v>
      </c>
      <c r="N273" s="12" t="s">
        <v>105</v>
      </c>
      <c r="O273" s="12" t="s">
        <v>46</v>
      </c>
      <c r="P273" s="12" t="s">
        <v>36</v>
      </c>
      <c r="Q273" s="12" t="s">
        <v>36</v>
      </c>
      <c r="R273" s="11" t="s">
        <v>421</v>
      </c>
      <c r="S273" s="11" t="s">
        <v>348</v>
      </c>
      <c r="T273" s="11" t="s">
        <v>350</v>
      </c>
      <c r="U273" s="11" t="s">
        <v>432</v>
      </c>
      <c r="V273" s="12" t="s">
        <v>36</v>
      </c>
      <c r="W273" s="12" t="s">
        <v>46</v>
      </c>
      <c r="X273" s="12"/>
      <c r="Y273" s="11" t="str">
        <f>HYPERLINK("https://www.stromypodkontrolou.cz/map/tree/d41bce85-5010-4276-b929-4760db78c679/be49af3c-b47d-4c1a-8e37-f9ef06ca3e59")</f>
        <v>https://www.stromypodkontrolou.cz/map/tree/d41bce85-5010-4276-b929-4760db78c679/be49af3c-b47d-4c1a-8e37-f9ef06ca3e59</v>
      </c>
      <c r="Z273" s="11">
        <v>-759021.82467200002</v>
      </c>
      <c r="AA273" s="11">
        <v>-980677.98664300004</v>
      </c>
      <c r="AB273" s="11" t="str">
        <f>HYPERLINK("https://www.mapy.cz?st=search&amp;fr=50.62228052 14.07420784")</f>
        <v>https://www.mapy.cz?st=search&amp;fr=50.62228052 14.07420784</v>
      </c>
      <c r="AC273" s="6">
        <f t="shared" si="59"/>
        <v>88</v>
      </c>
      <c r="AD273" s="6" t="s">
        <v>873</v>
      </c>
      <c r="AE273" s="37"/>
    </row>
    <row r="274" spans="1:31" ht="35.1" customHeight="1" x14ac:dyDescent="0.2">
      <c r="A274" s="26" t="s">
        <v>347</v>
      </c>
      <c r="B274" s="12">
        <v>15022</v>
      </c>
      <c r="C274" s="13" t="s">
        <v>751</v>
      </c>
      <c r="D274" s="14" t="s">
        <v>133</v>
      </c>
      <c r="E274" s="11" t="s">
        <v>134</v>
      </c>
      <c r="F274" s="12" t="s">
        <v>164</v>
      </c>
      <c r="G274" s="12" t="s">
        <v>207</v>
      </c>
      <c r="H274" s="12"/>
      <c r="I274" s="12"/>
      <c r="J274" s="12" t="s">
        <v>90</v>
      </c>
      <c r="K274" s="12" t="s">
        <v>43</v>
      </c>
      <c r="L274" s="12" t="s">
        <v>33</v>
      </c>
      <c r="M274" s="12" t="s">
        <v>34</v>
      </c>
      <c r="N274" s="12" t="s">
        <v>45</v>
      </c>
      <c r="O274" s="12" t="s">
        <v>46</v>
      </c>
      <c r="P274" s="12" t="s">
        <v>37</v>
      </c>
      <c r="Q274" s="12" t="s">
        <v>37</v>
      </c>
      <c r="R274" s="11"/>
      <c r="S274" s="11" t="s">
        <v>348</v>
      </c>
      <c r="T274" s="11" t="s">
        <v>350</v>
      </c>
      <c r="U274" s="11" t="s">
        <v>432</v>
      </c>
      <c r="V274" s="12" t="s">
        <v>36</v>
      </c>
      <c r="W274" s="12" t="s">
        <v>46</v>
      </c>
      <c r="X274" s="12"/>
      <c r="Y274" s="11" t="str">
        <f>HYPERLINK("https://www.stromypodkontrolou.cz/map/tree/d41bce85-5010-4276-b929-4760db78c679/9f395fd7-9a34-433a-8ca8-08ea187c2211")</f>
        <v>https://www.stromypodkontrolou.cz/map/tree/d41bce85-5010-4276-b929-4760db78c679/9f395fd7-9a34-433a-8ca8-08ea187c2211</v>
      </c>
      <c r="Z274" s="11">
        <v>-759025.316567</v>
      </c>
      <c r="AA274" s="11">
        <v>-980663.96280199999</v>
      </c>
      <c r="AB274" s="11" t="str">
        <f>HYPERLINK("https://www.mapy.cz?st=search&amp;fr=50.62240092 14.07413107")</f>
        <v>https://www.mapy.cz?st=search&amp;fr=50.62240092 14.07413107</v>
      </c>
      <c r="AC274" s="6">
        <f t="shared" si="59"/>
        <v>104</v>
      </c>
      <c r="AD274" s="6" t="s">
        <v>873</v>
      </c>
      <c r="AE274" s="37"/>
    </row>
    <row r="275" spans="1:31" ht="35.1" customHeight="1" x14ac:dyDescent="0.2">
      <c r="A275" s="26" t="s">
        <v>347</v>
      </c>
      <c r="B275" s="12">
        <v>15027</v>
      </c>
      <c r="C275" s="13" t="s">
        <v>752</v>
      </c>
      <c r="D275" s="14" t="s">
        <v>133</v>
      </c>
      <c r="E275" s="11" t="s">
        <v>134</v>
      </c>
      <c r="F275" s="12" t="s">
        <v>53</v>
      </c>
      <c r="G275" s="12" t="s">
        <v>123</v>
      </c>
      <c r="H275" s="12" t="s">
        <v>70</v>
      </c>
      <c r="I275" s="12"/>
      <c r="J275" s="12" t="s">
        <v>66</v>
      </c>
      <c r="K275" s="12" t="s">
        <v>43</v>
      </c>
      <c r="L275" s="12" t="s">
        <v>50</v>
      </c>
      <c r="M275" s="12" t="s">
        <v>34</v>
      </c>
      <c r="N275" s="12" t="s">
        <v>105</v>
      </c>
      <c r="O275" s="12" t="s">
        <v>36</v>
      </c>
      <c r="P275" s="12" t="s">
        <v>37</v>
      </c>
      <c r="Q275" s="12" t="s">
        <v>37</v>
      </c>
      <c r="R275" s="11" t="s">
        <v>753</v>
      </c>
      <c r="S275" s="11" t="s">
        <v>348</v>
      </c>
      <c r="T275" s="11" t="s">
        <v>350</v>
      </c>
      <c r="U275" s="11" t="s">
        <v>384</v>
      </c>
      <c r="V275" s="12" t="s">
        <v>95</v>
      </c>
      <c r="W275" s="12" t="s">
        <v>46</v>
      </c>
      <c r="X275" s="12"/>
      <c r="Y275" s="11" t="str">
        <f>HYPERLINK("https://www.stromypodkontrolou.cz/map/tree/d41bce85-5010-4276-b929-4760db78c679/efa37e81-fce7-4733-a67d-8d3c5e874eea")</f>
        <v>https://www.stromypodkontrolou.cz/map/tree/d41bce85-5010-4276-b929-4760db78c679/efa37e81-fce7-4733-a67d-8d3c5e874eea</v>
      </c>
      <c r="Z275" s="11">
        <v>-759039.50439599995</v>
      </c>
      <c r="AA275" s="11">
        <v>-980605.20751099999</v>
      </c>
      <c r="AB275" s="11" t="str">
        <f>HYPERLINK("https://www.mapy.cz?st=search&amp;fr=50.62290588 14.07381557")</f>
        <v>https://www.mapy.cz?st=search&amp;fr=50.62290588 14.07381557</v>
      </c>
      <c r="AC275" s="6">
        <f t="shared" ref="AC275" si="60">(J275-K275)*L275</f>
        <v>98</v>
      </c>
      <c r="AD275" s="6" t="s">
        <v>865</v>
      </c>
      <c r="AE275" s="37"/>
    </row>
    <row r="276" spans="1:31" ht="35.1" customHeight="1" x14ac:dyDescent="0.2">
      <c r="A276" s="26" t="s">
        <v>347</v>
      </c>
      <c r="B276" s="12">
        <v>15040</v>
      </c>
      <c r="C276" s="13" t="s">
        <v>754</v>
      </c>
      <c r="D276" s="14" t="s">
        <v>133</v>
      </c>
      <c r="E276" s="11" t="s">
        <v>134</v>
      </c>
      <c r="F276" s="12" t="s">
        <v>122</v>
      </c>
      <c r="G276" s="12"/>
      <c r="H276" s="12"/>
      <c r="I276" s="12"/>
      <c r="J276" s="12" t="s">
        <v>72</v>
      </c>
      <c r="K276" s="12" t="s">
        <v>61</v>
      </c>
      <c r="L276" s="12" t="s">
        <v>136</v>
      </c>
      <c r="M276" s="12" t="s">
        <v>34</v>
      </c>
      <c r="N276" s="12" t="s">
        <v>105</v>
      </c>
      <c r="O276" s="12" t="s">
        <v>46</v>
      </c>
      <c r="P276" s="12" t="s">
        <v>36</v>
      </c>
      <c r="Q276" s="12" t="s">
        <v>36</v>
      </c>
      <c r="R276" s="11" t="s">
        <v>153</v>
      </c>
      <c r="S276" s="11" t="s">
        <v>348</v>
      </c>
      <c r="T276" s="11" t="s">
        <v>350</v>
      </c>
      <c r="U276" s="11" t="s">
        <v>384</v>
      </c>
      <c r="V276" s="12" t="s">
        <v>33</v>
      </c>
      <c r="W276" s="12" t="s">
        <v>46</v>
      </c>
      <c r="X276" s="12"/>
      <c r="Y276" s="11" t="str">
        <f>HYPERLINK("https://www.stromypodkontrolou.cz/map/tree/d41bce85-5010-4276-b929-4760db78c679/b2c04204-ff11-4885-969d-070d2ec38593")</f>
        <v>https://www.stromypodkontrolou.cz/map/tree/d41bce85-5010-4276-b929-4760db78c679/b2c04204-ff11-4885-969d-070d2ec38593</v>
      </c>
      <c r="Z276" s="11">
        <v>-759097.43834999995</v>
      </c>
      <c r="AA276" s="11">
        <v>-980473.31060600001</v>
      </c>
      <c r="AB276" s="11" t="str">
        <f>HYPERLINK("https://www.mapy.cz?st=search&amp;fr=50.62400641 14.07274235")</f>
        <v>https://www.mapy.cz?st=search&amp;fr=50.62400641 14.07274235</v>
      </c>
      <c r="AC276" s="6">
        <f>(J276-K276)*L276</f>
        <v>210</v>
      </c>
      <c r="AD276" s="6" t="s">
        <v>865</v>
      </c>
      <c r="AE276" s="37"/>
    </row>
    <row r="277" spans="1:31" ht="34.5" customHeight="1" x14ac:dyDescent="0.2">
      <c r="A277" s="26" t="s">
        <v>351</v>
      </c>
      <c r="B277" s="12">
        <v>10743</v>
      </c>
      <c r="C277" s="13" t="s">
        <v>755</v>
      </c>
      <c r="D277" s="14" t="s">
        <v>62</v>
      </c>
      <c r="E277" s="11" t="s">
        <v>63</v>
      </c>
      <c r="F277" s="12" t="s">
        <v>120</v>
      </c>
      <c r="G277" s="12" t="s">
        <v>54</v>
      </c>
      <c r="H277" s="12" t="s">
        <v>100</v>
      </c>
      <c r="I277" s="12" t="s">
        <v>70</v>
      </c>
      <c r="J277" s="12" t="s">
        <v>66</v>
      </c>
      <c r="K277" s="12" t="s">
        <v>61</v>
      </c>
      <c r="L277" s="12" t="s">
        <v>136</v>
      </c>
      <c r="M277" s="12" t="s">
        <v>34</v>
      </c>
      <c r="N277" s="12" t="s">
        <v>105</v>
      </c>
      <c r="O277" s="12" t="s">
        <v>46</v>
      </c>
      <c r="P277" s="12" t="s">
        <v>36</v>
      </c>
      <c r="Q277" s="12" t="s">
        <v>37</v>
      </c>
      <c r="R277" s="11" t="s">
        <v>756</v>
      </c>
      <c r="S277" s="11" t="s">
        <v>757</v>
      </c>
      <c r="T277" s="11" t="s">
        <v>758</v>
      </c>
      <c r="U277" s="11" t="s">
        <v>382</v>
      </c>
      <c r="V277" s="12"/>
      <c r="W277" s="12" t="s">
        <v>46</v>
      </c>
      <c r="X277" s="12"/>
      <c r="Y277" s="11" t="str">
        <f>HYPERLINK("https://www.stromypodkontrolou.cz/map/tree/d41bce85-5010-4276-b929-4760db78c679/7944053a-3952-4a15-bce4-7b0370b387ac")</f>
        <v>https://www.stromypodkontrolou.cz/map/tree/d41bce85-5010-4276-b929-4760db78c679/7944053a-3952-4a15-bce4-7b0370b387ac</v>
      </c>
      <c r="Z277" s="11">
        <v>-750301.63494200003</v>
      </c>
      <c r="AA277" s="11">
        <v>-999925.03579999995</v>
      </c>
      <c r="AB277" s="11" t="str">
        <f>HYPERLINK("https://www.mapy.cz?st=search&amp;fr=50.46190975 14.23399575")</f>
        <v>https://www.mapy.cz?st=search&amp;fr=50.46190975 14.23399575</v>
      </c>
      <c r="AC277" s="6">
        <f t="shared" ref="AC277" si="61">(J277-K277)*L277</f>
        <v>182</v>
      </c>
      <c r="AD277" s="6" t="s">
        <v>870</v>
      </c>
      <c r="AE277" s="37"/>
    </row>
    <row r="278" spans="1:31" ht="35.1" customHeight="1" x14ac:dyDescent="0.2">
      <c r="A278" s="26" t="s">
        <v>351</v>
      </c>
      <c r="B278" s="12">
        <v>10748</v>
      </c>
      <c r="C278" s="13" t="s">
        <v>760</v>
      </c>
      <c r="D278" s="14" t="s">
        <v>109</v>
      </c>
      <c r="E278" s="11" t="s">
        <v>110</v>
      </c>
      <c r="F278" s="12" t="s">
        <v>164</v>
      </c>
      <c r="G278" s="12"/>
      <c r="H278" s="12"/>
      <c r="I278" s="12"/>
      <c r="J278" s="12" t="s">
        <v>72</v>
      </c>
      <c r="K278" s="12" t="s">
        <v>61</v>
      </c>
      <c r="L278" s="12" t="s">
        <v>94</v>
      </c>
      <c r="M278" s="12" t="s">
        <v>34</v>
      </c>
      <c r="N278" s="12" t="s">
        <v>105</v>
      </c>
      <c r="O278" s="12" t="s">
        <v>36</v>
      </c>
      <c r="P278" s="12" t="s">
        <v>36</v>
      </c>
      <c r="Q278" s="12" t="s">
        <v>36</v>
      </c>
      <c r="R278" s="11" t="s">
        <v>429</v>
      </c>
      <c r="S278" s="11" t="s">
        <v>352</v>
      </c>
      <c r="T278" s="11" t="s">
        <v>759</v>
      </c>
      <c r="U278" s="11" t="s">
        <v>382</v>
      </c>
      <c r="V278" s="12" t="s">
        <v>95</v>
      </c>
      <c r="W278" s="12" t="s">
        <v>46</v>
      </c>
      <c r="X278" s="12"/>
      <c r="Y278" s="11" t="str">
        <f>HYPERLINK("https://www.stromypodkontrolou.cz/map/tree/d41bce85-5010-4276-b929-4760db78c679/01c780b0-3f55-4aa3-8513-a2c316d49064")</f>
        <v>https://www.stromypodkontrolou.cz/map/tree/d41bce85-5010-4276-b929-4760db78c679/01c780b0-3f55-4aa3-8513-a2c316d49064</v>
      </c>
      <c r="Z278" s="11">
        <v>-750352.63247800001</v>
      </c>
      <c r="AA278" s="11">
        <v>-1000713.325094</v>
      </c>
      <c r="AB278" s="11" t="str">
        <f>HYPERLINK("https://www.mapy.cz?st=search&amp;fr=50.45482770 14.23482523")</f>
        <v>https://www.mapy.cz?st=search&amp;fr=50.45482770 14.23482523</v>
      </c>
      <c r="AC278" s="6">
        <f t="shared" ref="AC278:AC281" si="62">(J278-K278)*L278</f>
        <v>195</v>
      </c>
      <c r="AD278" s="6" t="s">
        <v>870</v>
      </c>
      <c r="AE278" s="37"/>
    </row>
    <row r="279" spans="1:31" ht="35.1" customHeight="1" x14ac:dyDescent="0.2">
      <c r="A279" s="26" t="s">
        <v>351</v>
      </c>
      <c r="B279" s="12">
        <v>10749</v>
      </c>
      <c r="C279" s="13" t="s">
        <v>761</v>
      </c>
      <c r="D279" s="14" t="s">
        <v>109</v>
      </c>
      <c r="E279" s="11" t="s">
        <v>110</v>
      </c>
      <c r="F279" s="12" t="s">
        <v>157</v>
      </c>
      <c r="G279" s="12"/>
      <c r="H279" s="12"/>
      <c r="I279" s="12"/>
      <c r="J279" s="12" t="s">
        <v>72</v>
      </c>
      <c r="K279" s="12" t="s">
        <v>61</v>
      </c>
      <c r="L279" s="12" t="s">
        <v>136</v>
      </c>
      <c r="M279" s="12" t="s">
        <v>34</v>
      </c>
      <c r="N279" s="12" t="s">
        <v>105</v>
      </c>
      <c r="O279" s="12" t="s">
        <v>36</v>
      </c>
      <c r="P279" s="12" t="s">
        <v>36</v>
      </c>
      <c r="Q279" s="12" t="s">
        <v>36</v>
      </c>
      <c r="R279" s="11" t="s">
        <v>504</v>
      </c>
      <c r="S279" s="11" t="s">
        <v>352</v>
      </c>
      <c r="T279" s="11" t="s">
        <v>759</v>
      </c>
      <c r="U279" s="11" t="s">
        <v>382</v>
      </c>
      <c r="V279" s="12" t="s">
        <v>95</v>
      </c>
      <c r="W279" s="12" t="s">
        <v>46</v>
      </c>
      <c r="X279" s="12"/>
      <c r="Y279" s="11" t="str">
        <f>HYPERLINK("https://www.stromypodkontrolou.cz/map/tree/d41bce85-5010-4276-b929-4760db78c679/57d4b2c0-971f-4878-a5b4-54421335bd64")</f>
        <v>https://www.stromypodkontrolou.cz/map/tree/d41bce85-5010-4276-b929-4760db78c679/57d4b2c0-971f-4878-a5b4-54421335bd64</v>
      </c>
      <c r="Z279" s="11">
        <v>-750353.45040900004</v>
      </c>
      <c r="AA279" s="11">
        <v>-1000720.019615</v>
      </c>
      <c r="AB279" s="11" t="str">
        <f>HYPERLINK("https://www.mapy.cz?st=search&amp;fr=50.45476707 14.23482690")</f>
        <v>https://www.mapy.cz?st=search&amp;fr=50.45476707 14.23482690</v>
      </c>
      <c r="AC279" s="6">
        <f t="shared" si="62"/>
        <v>210</v>
      </c>
      <c r="AD279" s="6" t="s">
        <v>870</v>
      </c>
      <c r="AE279" s="37"/>
    </row>
    <row r="280" spans="1:31" ht="35.1" customHeight="1" x14ac:dyDescent="0.2">
      <c r="A280" s="26" t="s">
        <v>351</v>
      </c>
      <c r="B280" s="12">
        <v>10750</v>
      </c>
      <c r="C280" s="13" t="s">
        <v>762</v>
      </c>
      <c r="D280" s="14" t="s">
        <v>28</v>
      </c>
      <c r="E280" s="11" t="s">
        <v>29</v>
      </c>
      <c r="F280" s="12" t="s">
        <v>219</v>
      </c>
      <c r="G280" s="12" t="s">
        <v>167</v>
      </c>
      <c r="H280" s="12" t="s">
        <v>207</v>
      </c>
      <c r="I280" s="12" t="s">
        <v>65</v>
      </c>
      <c r="J280" s="12" t="s">
        <v>117</v>
      </c>
      <c r="K280" s="12" t="s">
        <v>32</v>
      </c>
      <c r="L280" s="12" t="s">
        <v>94</v>
      </c>
      <c r="M280" s="12" t="s">
        <v>34</v>
      </c>
      <c r="N280" s="12" t="s">
        <v>105</v>
      </c>
      <c r="O280" s="12" t="s">
        <v>46</v>
      </c>
      <c r="P280" s="12" t="s">
        <v>37</v>
      </c>
      <c r="Q280" s="12" t="s">
        <v>37</v>
      </c>
      <c r="R280" s="11" t="s">
        <v>171</v>
      </c>
      <c r="S280" s="11" t="s">
        <v>352</v>
      </c>
      <c r="T280" s="11" t="s">
        <v>759</v>
      </c>
      <c r="U280" s="11" t="s">
        <v>384</v>
      </c>
      <c r="V280" s="12" t="s">
        <v>95</v>
      </c>
      <c r="W280" s="12" t="s">
        <v>46</v>
      </c>
      <c r="X280" s="12" t="s">
        <v>388</v>
      </c>
      <c r="Y280" s="11" t="str">
        <f>HYPERLINK("https://www.stromypodkontrolou.cz/map/tree/d41bce85-5010-4276-b929-4760db78c679/68e3ed24-13d5-44be-9f50-b562e58c0624")</f>
        <v>https://www.stromypodkontrolou.cz/map/tree/d41bce85-5010-4276-b929-4760db78c679/68e3ed24-13d5-44be-9f50-b562e58c0624</v>
      </c>
      <c r="Z280" s="11">
        <v>-750349.52968599997</v>
      </c>
      <c r="AA280" s="11">
        <v>-1000740.421097</v>
      </c>
      <c r="AB280" s="11" t="str">
        <f>HYPERLINK("https://www.mapy.cz?st=search&amp;fr=50.45459032 14.23492145")</f>
        <v>https://www.mapy.cz?st=search&amp;fr=50.45459032 14.23492145</v>
      </c>
      <c r="AC280" s="6">
        <f t="shared" si="62"/>
        <v>234</v>
      </c>
      <c r="AD280" s="6" t="s">
        <v>865</v>
      </c>
      <c r="AE280" s="37"/>
    </row>
    <row r="281" spans="1:31" ht="35.1" customHeight="1" x14ac:dyDescent="0.2">
      <c r="A281" s="26" t="s">
        <v>351</v>
      </c>
      <c r="B281" s="12">
        <v>10751</v>
      </c>
      <c r="C281" s="13" t="s">
        <v>763</v>
      </c>
      <c r="D281" s="14" t="s">
        <v>62</v>
      </c>
      <c r="E281" s="11" t="s">
        <v>63</v>
      </c>
      <c r="F281" s="12" t="s">
        <v>542</v>
      </c>
      <c r="G281" s="12"/>
      <c r="H281" s="12"/>
      <c r="I281" s="12"/>
      <c r="J281" s="12" t="s">
        <v>90</v>
      </c>
      <c r="K281" s="12" t="s">
        <v>103</v>
      </c>
      <c r="L281" s="12" t="s">
        <v>49</v>
      </c>
      <c r="M281" s="12" t="s">
        <v>34</v>
      </c>
      <c r="N281" s="12" t="s">
        <v>105</v>
      </c>
      <c r="O281" s="12" t="s">
        <v>36</v>
      </c>
      <c r="P281" s="12" t="s">
        <v>34</v>
      </c>
      <c r="Q281" s="12" t="s">
        <v>34</v>
      </c>
      <c r="R281" s="11" t="s">
        <v>159</v>
      </c>
      <c r="S281" s="11" t="s">
        <v>352</v>
      </c>
      <c r="T281" s="11" t="s">
        <v>759</v>
      </c>
      <c r="U281" s="11" t="s">
        <v>384</v>
      </c>
      <c r="V281" s="12" t="s">
        <v>95</v>
      </c>
      <c r="W281" s="12" t="s">
        <v>46</v>
      </c>
      <c r="X281" s="12" t="s">
        <v>388</v>
      </c>
      <c r="Y281" s="11" t="str">
        <f>HYPERLINK("https://www.stromypodkontrolou.cz/map/tree/d41bce85-5010-4276-b929-4760db78c679/965ebde9-37b2-49d1-a1c1-5273e983d309")</f>
        <v>https://www.stromypodkontrolou.cz/map/tree/d41bce85-5010-4276-b929-4760db78c679/965ebde9-37b2-49d1-a1c1-5273e983d309</v>
      </c>
      <c r="Z281" s="11">
        <v>-750358.00207100005</v>
      </c>
      <c r="AA281" s="11">
        <v>-1000759.877158</v>
      </c>
      <c r="AB281" s="11" t="str">
        <f>HYPERLINK("https://www.mapy.cz?st=search&amp;fr=50.45440653 14.23484132")</f>
        <v>https://www.mapy.cz?st=search&amp;fr=50.45440653 14.23484132</v>
      </c>
      <c r="AC281" s="6">
        <f t="shared" si="62"/>
        <v>99</v>
      </c>
      <c r="AD281" s="6" t="s">
        <v>865</v>
      </c>
      <c r="AE281" s="37"/>
    </row>
    <row r="282" spans="1:31" ht="35.1" customHeight="1" x14ac:dyDescent="0.2">
      <c r="A282" s="47" t="s">
        <v>351</v>
      </c>
      <c r="B282" s="46">
        <v>10754</v>
      </c>
      <c r="C282" s="48" t="s">
        <v>764</v>
      </c>
      <c r="D282" s="49" t="s">
        <v>109</v>
      </c>
      <c r="E282" s="45" t="s">
        <v>110</v>
      </c>
      <c r="F282" s="46"/>
      <c r="G282" s="46"/>
      <c r="H282" s="46"/>
      <c r="I282" s="46"/>
      <c r="J282" s="46" t="s">
        <v>56</v>
      </c>
      <c r="K282" s="46" t="s">
        <v>32</v>
      </c>
      <c r="L282" s="46" t="s">
        <v>118</v>
      </c>
      <c r="M282" s="46" t="s">
        <v>34</v>
      </c>
      <c r="N282" s="46" t="s">
        <v>105</v>
      </c>
      <c r="O282" s="46" t="s">
        <v>36</v>
      </c>
      <c r="P282" s="46" t="s">
        <v>36</v>
      </c>
      <c r="Q282" s="46" t="s">
        <v>37</v>
      </c>
      <c r="R282" s="45" t="s">
        <v>214</v>
      </c>
      <c r="S282" s="45" t="s">
        <v>352</v>
      </c>
      <c r="T282" s="45" t="s">
        <v>759</v>
      </c>
      <c r="U282" s="11" t="s">
        <v>380</v>
      </c>
      <c r="V282" s="12" t="s">
        <v>95</v>
      </c>
      <c r="W282" s="12" t="s">
        <v>46</v>
      </c>
      <c r="X282" s="12" t="s">
        <v>439</v>
      </c>
      <c r="Y282" s="45" t="str">
        <f>HYPERLINK("https://www.stromypodkontrolou.cz/map/tree/d41bce85-5010-4276-b929-4760db78c679/1c9848e1-031e-4968-840a-463815414fd9")</f>
        <v>https://www.stromypodkontrolou.cz/map/tree/d41bce85-5010-4276-b929-4760db78c679/1c9848e1-031e-4968-840a-463815414fd9</v>
      </c>
      <c r="Z282" s="45">
        <v>-750361.05409600004</v>
      </c>
      <c r="AA282" s="45">
        <v>-1000800.184918</v>
      </c>
      <c r="AB282" s="45" t="str">
        <f>HYPERLINK("https://www.mapy.cz?st=search&amp;fr=50.45404385 14.23487753")</f>
        <v>https://www.mapy.cz?st=search&amp;fr=50.45404385 14.23487753</v>
      </c>
      <c r="AC282" s="6">
        <f t="shared" ref="AC282:AC283" si="63">(J282-K282)*L282</f>
        <v>210</v>
      </c>
      <c r="AD282" s="6" t="s">
        <v>871</v>
      </c>
      <c r="AE282" s="37"/>
    </row>
    <row r="283" spans="1:31" ht="35.1" customHeight="1" x14ac:dyDescent="0.2">
      <c r="A283" s="47"/>
      <c r="B283" s="46"/>
      <c r="C283" s="48"/>
      <c r="D283" s="49"/>
      <c r="E283" s="45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5"/>
      <c r="S283" s="45"/>
      <c r="T283" s="45"/>
      <c r="U283" s="11" t="s">
        <v>382</v>
      </c>
      <c r="V283" s="12" t="s">
        <v>95</v>
      </c>
      <c r="W283" s="12" t="s">
        <v>46</v>
      </c>
      <c r="X283" s="12"/>
      <c r="Y283" s="45"/>
      <c r="Z283" s="45"/>
      <c r="AA283" s="45"/>
      <c r="AB283" s="45"/>
      <c r="AC283" s="6">
        <f t="shared" si="63"/>
        <v>0</v>
      </c>
      <c r="AD283" s="6" t="s">
        <v>870</v>
      </c>
      <c r="AE283" s="37"/>
    </row>
    <row r="284" spans="1:31" ht="35.1" customHeight="1" x14ac:dyDescent="0.2">
      <c r="A284" s="26" t="s">
        <v>351</v>
      </c>
      <c r="B284" s="12">
        <v>10757</v>
      </c>
      <c r="C284" s="13" t="s">
        <v>765</v>
      </c>
      <c r="D284" s="14" t="s">
        <v>62</v>
      </c>
      <c r="E284" s="11" t="s">
        <v>63</v>
      </c>
      <c r="F284" s="12" t="s">
        <v>207</v>
      </c>
      <c r="G284" s="12" t="s">
        <v>130</v>
      </c>
      <c r="H284" s="12"/>
      <c r="I284" s="12"/>
      <c r="J284" s="12" t="s">
        <v>79</v>
      </c>
      <c r="K284" s="12" t="s">
        <v>61</v>
      </c>
      <c r="L284" s="12" t="s">
        <v>47</v>
      </c>
      <c r="M284" s="12" t="s">
        <v>37</v>
      </c>
      <c r="N284" s="12" t="s">
        <v>105</v>
      </c>
      <c r="O284" s="12" t="s">
        <v>46</v>
      </c>
      <c r="P284" s="12" t="s">
        <v>36</v>
      </c>
      <c r="Q284" s="12" t="s">
        <v>36</v>
      </c>
      <c r="R284" s="11" t="s">
        <v>114</v>
      </c>
      <c r="S284" s="11" t="s">
        <v>352</v>
      </c>
      <c r="T284" s="11" t="s">
        <v>759</v>
      </c>
      <c r="U284" s="11" t="s">
        <v>380</v>
      </c>
      <c r="V284" s="12" t="s">
        <v>95</v>
      </c>
      <c r="W284" s="12" t="s">
        <v>46</v>
      </c>
      <c r="X284" s="12" t="s">
        <v>439</v>
      </c>
      <c r="Y284" s="11" t="str">
        <f>HYPERLINK("https://www.stromypodkontrolou.cz/map/tree/d41bce85-5010-4276-b929-4760db78c679/20d609d4-eddc-4632-a883-81a8f3851ce0")</f>
        <v>https://www.stromypodkontrolou.cz/map/tree/d41bce85-5010-4276-b929-4760db78c679/20d609d4-eddc-4632-a883-81a8f3851ce0</v>
      </c>
      <c r="Z284" s="11">
        <v>-750363.05611699994</v>
      </c>
      <c r="AA284" s="11">
        <v>-1000820.476007</v>
      </c>
      <c r="AB284" s="11" t="str">
        <f>HYPERLINK("https://www.mapy.cz?st=search&amp;fr=50.45386069 14.23488926")</f>
        <v>https://www.mapy.cz?st=search&amp;fr=50.45386069 14.23488926</v>
      </c>
      <c r="AC284" s="6">
        <f t="shared" ref="AC284:AC287" si="64">(J284-K284)*L284</f>
        <v>120</v>
      </c>
      <c r="AD284" s="6" t="s">
        <v>869</v>
      </c>
      <c r="AE284" s="37"/>
    </row>
    <row r="285" spans="1:31" ht="35.1" customHeight="1" x14ac:dyDescent="0.2">
      <c r="A285" s="47" t="s">
        <v>351</v>
      </c>
      <c r="B285" s="46">
        <v>10758</v>
      </c>
      <c r="C285" s="48" t="s">
        <v>766</v>
      </c>
      <c r="D285" s="49" t="s">
        <v>109</v>
      </c>
      <c r="E285" s="45" t="s">
        <v>110</v>
      </c>
      <c r="F285" s="46" t="s">
        <v>211</v>
      </c>
      <c r="G285" s="46"/>
      <c r="H285" s="46"/>
      <c r="I285" s="46"/>
      <c r="J285" s="46" t="s">
        <v>84</v>
      </c>
      <c r="K285" s="46" t="s">
        <v>32</v>
      </c>
      <c r="L285" s="46" t="s">
        <v>118</v>
      </c>
      <c r="M285" s="46" t="s">
        <v>34</v>
      </c>
      <c r="N285" s="46" t="s">
        <v>105</v>
      </c>
      <c r="O285" s="46" t="s">
        <v>36</v>
      </c>
      <c r="P285" s="46" t="s">
        <v>37</v>
      </c>
      <c r="Q285" s="46" t="s">
        <v>37</v>
      </c>
      <c r="R285" s="45" t="s">
        <v>767</v>
      </c>
      <c r="S285" s="45" t="s">
        <v>352</v>
      </c>
      <c r="T285" s="45" t="s">
        <v>759</v>
      </c>
      <c r="U285" s="11" t="s">
        <v>382</v>
      </c>
      <c r="V285" s="12" t="s">
        <v>95</v>
      </c>
      <c r="W285" s="12" t="s">
        <v>46</v>
      </c>
      <c r="X285" s="12"/>
      <c r="Y285" s="45" t="str">
        <f>HYPERLINK("https://www.stromypodkontrolou.cz/map/tree/d41bce85-5010-4276-b929-4760db78c679/d33d800d-44ff-4483-80b8-c0b6d7029c06")</f>
        <v>https://www.stromypodkontrolou.cz/map/tree/d41bce85-5010-4276-b929-4760db78c679/d33d800d-44ff-4483-80b8-c0b6d7029c06</v>
      </c>
      <c r="Z285" s="45">
        <v>-750365.71322699997</v>
      </c>
      <c r="AA285" s="45">
        <v>-1000842.353723</v>
      </c>
      <c r="AB285" s="45" t="str">
        <f>HYPERLINK("https://www.mapy.cz?st=search&amp;fr=50.45366259 14.23489496")</f>
        <v>https://www.mapy.cz?st=search&amp;fr=50.45366259 14.23489496</v>
      </c>
      <c r="AC285" s="6">
        <f t="shared" si="64"/>
        <v>225</v>
      </c>
      <c r="AD285" s="6" t="s">
        <v>870</v>
      </c>
      <c r="AE285" s="37"/>
    </row>
    <row r="286" spans="1:31" ht="35.1" customHeight="1" x14ac:dyDescent="0.2">
      <c r="A286" s="47"/>
      <c r="B286" s="46"/>
      <c r="C286" s="48"/>
      <c r="D286" s="49"/>
      <c r="E286" s="45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5"/>
      <c r="S286" s="45"/>
      <c r="T286" s="45"/>
      <c r="U286" s="11" t="s">
        <v>380</v>
      </c>
      <c r="V286" s="12" t="s">
        <v>95</v>
      </c>
      <c r="W286" s="12" t="s">
        <v>46</v>
      </c>
      <c r="X286" s="12" t="s">
        <v>768</v>
      </c>
      <c r="Y286" s="45"/>
      <c r="Z286" s="45"/>
      <c r="AA286" s="45"/>
      <c r="AB286" s="45"/>
      <c r="AC286" s="6">
        <f t="shared" si="64"/>
        <v>0</v>
      </c>
      <c r="AD286" s="6" t="s">
        <v>871</v>
      </c>
      <c r="AE286" s="37"/>
    </row>
    <row r="287" spans="1:31" ht="35.1" customHeight="1" x14ac:dyDescent="0.2">
      <c r="A287" s="26" t="s">
        <v>351</v>
      </c>
      <c r="B287" s="12">
        <v>10759</v>
      </c>
      <c r="C287" s="13" t="s">
        <v>769</v>
      </c>
      <c r="D287" s="14" t="s">
        <v>339</v>
      </c>
      <c r="E287" s="11" t="s">
        <v>340</v>
      </c>
      <c r="F287" s="12" t="s">
        <v>106</v>
      </c>
      <c r="G287" s="12"/>
      <c r="H287" s="12"/>
      <c r="I287" s="12"/>
      <c r="J287" s="12" t="s">
        <v>51</v>
      </c>
      <c r="K287" s="12" t="s">
        <v>61</v>
      </c>
      <c r="L287" s="12" t="s">
        <v>44</v>
      </c>
      <c r="M287" s="12" t="s">
        <v>37</v>
      </c>
      <c r="N287" s="12" t="s">
        <v>105</v>
      </c>
      <c r="O287" s="12" t="s">
        <v>46</v>
      </c>
      <c r="P287" s="12" t="s">
        <v>36</v>
      </c>
      <c r="Q287" s="12" t="s">
        <v>36</v>
      </c>
      <c r="R287" s="11" t="s">
        <v>114</v>
      </c>
      <c r="S287" s="11" t="s">
        <v>352</v>
      </c>
      <c r="T287" s="11" t="s">
        <v>759</v>
      </c>
      <c r="U287" s="11" t="s">
        <v>378</v>
      </c>
      <c r="V287" s="12" t="s">
        <v>95</v>
      </c>
      <c r="W287" s="12" t="s">
        <v>46</v>
      </c>
      <c r="X287" s="12" t="s">
        <v>379</v>
      </c>
      <c r="Y287" s="11" t="str">
        <f>HYPERLINK("https://www.stromypodkontrolou.cz/map/tree/d41bce85-5010-4276-b929-4760db78c679/f673b23f-cb3f-4ec0-9cff-08e23ec4b956")</f>
        <v>https://www.stromypodkontrolou.cz/map/tree/d41bce85-5010-4276-b929-4760db78c679/f673b23f-cb3f-4ec0-9cff-08e23ec4b956</v>
      </c>
      <c r="Z287" s="11">
        <v>-750367.82861900004</v>
      </c>
      <c r="AA287" s="11">
        <v>-1000869.630232</v>
      </c>
      <c r="AB287" s="11" t="str">
        <f>HYPERLINK("https://www.mapy.cz?st=search&amp;fr=50.45341710 14.23491877")</f>
        <v>https://www.mapy.cz?st=search&amp;fr=50.45341710 14.23491877</v>
      </c>
      <c r="AC287" s="6">
        <f t="shared" si="64"/>
        <v>36</v>
      </c>
      <c r="AD287" s="6" t="s">
        <v>866</v>
      </c>
      <c r="AE287" s="37"/>
    </row>
    <row r="288" spans="1:31" ht="35.1" customHeight="1" x14ac:dyDescent="0.2">
      <c r="A288" s="26" t="s">
        <v>351</v>
      </c>
      <c r="B288" s="12">
        <v>10761</v>
      </c>
      <c r="C288" s="13" t="s">
        <v>770</v>
      </c>
      <c r="D288" s="14" t="s">
        <v>259</v>
      </c>
      <c r="E288" s="11" t="s">
        <v>260</v>
      </c>
      <c r="F288" s="12" t="s">
        <v>211</v>
      </c>
      <c r="G288" s="12"/>
      <c r="H288" s="12"/>
      <c r="I288" s="12"/>
      <c r="J288" s="12" t="s">
        <v>90</v>
      </c>
      <c r="K288" s="12" t="s">
        <v>61</v>
      </c>
      <c r="L288" s="12" t="s">
        <v>47</v>
      </c>
      <c r="M288" s="12" t="s">
        <v>95</v>
      </c>
      <c r="N288" s="12" t="s">
        <v>45</v>
      </c>
      <c r="O288" s="12" t="s">
        <v>36</v>
      </c>
      <c r="P288" s="12" t="s">
        <v>37</v>
      </c>
      <c r="Q288" s="12" t="s">
        <v>34</v>
      </c>
      <c r="R288" s="11" t="s">
        <v>280</v>
      </c>
      <c r="S288" s="11" t="s">
        <v>352</v>
      </c>
      <c r="T288" s="11" t="s">
        <v>759</v>
      </c>
      <c r="U288" s="11" t="s">
        <v>480</v>
      </c>
      <c r="V288" s="12" t="s">
        <v>95</v>
      </c>
      <c r="W288" s="12" t="s">
        <v>46</v>
      </c>
      <c r="X288" s="12" t="s">
        <v>388</v>
      </c>
      <c r="Y288" s="11" t="str">
        <f>HYPERLINK("https://www.stromypodkontrolou.cz/map/tree/d41bce85-5010-4276-b929-4760db78c679/2fcfb8ba-869e-4bb6-a184-4505a3c38154")</f>
        <v>https://www.stromypodkontrolou.cz/map/tree/d41bce85-5010-4276-b929-4760db78c679/2fcfb8ba-869e-4bb6-a184-4505a3c38154</v>
      </c>
      <c r="Z288" s="11">
        <v>-750374.42612700001</v>
      </c>
      <c r="AA288" s="11">
        <v>-1000926.489463</v>
      </c>
      <c r="AB288" s="11" t="str">
        <f>HYPERLINK("https://www.mapy.cz?st=search&amp;fr=50.45290262 14.23493788")</f>
        <v>https://www.mapy.cz?st=search&amp;fr=50.45290262 14.23493788</v>
      </c>
      <c r="AC288" s="6">
        <f t="shared" ref="AC288:AC291" si="65">(J288-K288)*L288</f>
        <v>144</v>
      </c>
      <c r="AD288" s="6" t="s">
        <v>876</v>
      </c>
      <c r="AE288" s="37"/>
    </row>
    <row r="289" spans="1:31" ht="35.1" customHeight="1" x14ac:dyDescent="0.2">
      <c r="A289" s="26" t="s">
        <v>351</v>
      </c>
      <c r="B289" s="12">
        <v>10762</v>
      </c>
      <c r="C289" s="13" t="s">
        <v>771</v>
      </c>
      <c r="D289" s="14" t="s">
        <v>62</v>
      </c>
      <c r="E289" s="11" t="s">
        <v>63</v>
      </c>
      <c r="F289" s="12" t="s">
        <v>230</v>
      </c>
      <c r="G289" s="12"/>
      <c r="H289" s="12"/>
      <c r="I289" s="12"/>
      <c r="J289" s="12" t="s">
        <v>72</v>
      </c>
      <c r="K289" s="12" t="s">
        <v>103</v>
      </c>
      <c r="L289" s="12" t="s">
        <v>136</v>
      </c>
      <c r="M289" s="12" t="s">
        <v>34</v>
      </c>
      <c r="N289" s="12" t="s">
        <v>105</v>
      </c>
      <c r="O289" s="12" t="s">
        <v>46</v>
      </c>
      <c r="P289" s="12" t="s">
        <v>36</v>
      </c>
      <c r="Q289" s="12" t="s">
        <v>36</v>
      </c>
      <c r="R289" s="11"/>
      <c r="S289" s="11" t="s">
        <v>352</v>
      </c>
      <c r="T289" s="11" t="s">
        <v>772</v>
      </c>
      <c r="U289" s="11" t="s">
        <v>380</v>
      </c>
      <c r="V289" s="12" t="s">
        <v>95</v>
      </c>
      <c r="W289" s="12" t="s">
        <v>46</v>
      </c>
      <c r="X289" s="12" t="s">
        <v>439</v>
      </c>
      <c r="Y289" s="11" t="str">
        <f>HYPERLINK("https://www.stromypodkontrolou.cz/map/tree/d41bce85-5010-4276-b929-4760db78c679/3e681157-1bcb-47e5-9f19-8a68d85145c1")</f>
        <v>https://www.stromypodkontrolou.cz/map/tree/d41bce85-5010-4276-b929-4760db78c679/3e681157-1bcb-47e5-9f19-8a68d85145c1</v>
      </c>
      <c r="Z289" s="11">
        <v>-750371.92250800005</v>
      </c>
      <c r="AA289" s="11">
        <v>-1000984.456841</v>
      </c>
      <c r="AB289" s="11" t="str">
        <f>HYPERLINK("https://www.mapy.cz?st=search&amp;fr=50.45238964 14.23508607")</f>
        <v>https://www.mapy.cz?st=search&amp;fr=50.45238964 14.23508607</v>
      </c>
      <c r="AC289" s="6">
        <f t="shared" si="65"/>
        <v>196</v>
      </c>
      <c r="AD289" s="6" t="s">
        <v>869</v>
      </c>
      <c r="AE289" s="37"/>
    </row>
    <row r="290" spans="1:31" ht="35.1" customHeight="1" x14ac:dyDescent="0.2">
      <c r="A290" s="26" t="s">
        <v>351</v>
      </c>
      <c r="B290" s="12">
        <v>10763</v>
      </c>
      <c r="C290" s="13" t="s">
        <v>773</v>
      </c>
      <c r="D290" s="14" t="s">
        <v>28</v>
      </c>
      <c r="E290" s="11" t="s">
        <v>29</v>
      </c>
      <c r="F290" s="12" t="s">
        <v>131</v>
      </c>
      <c r="G290" s="12" t="s">
        <v>53</v>
      </c>
      <c r="H290" s="12" t="s">
        <v>204</v>
      </c>
      <c r="I290" s="12"/>
      <c r="J290" s="12" t="s">
        <v>170</v>
      </c>
      <c r="K290" s="12" t="s">
        <v>76</v>
      </c>
      <c r="L290" s="12" t="s">
        <v>47</v>
      </c>
      <c r="M290" s="12" t="s">
        <v>34</v>
      </c>
      <c r="N290" s="12" t="s">
        <v>105</v>
      </c>
      <c r="O290" s="12" t="s">
        <v>36</v>
      </c>
      <c r="P290" s="12" t="s">
        <v>36</v>
      </c>
      <c r="Q290" s="12" t="s">
        <v>36</v>
      </c>
      <c r="R290" s="11" t="s">
        <v>171</v>
      </c>
      <c r="S290" s="11" t="s">
        <v>352</v>
      </c>
      <c r="T290" s="11" t="s">
        <v>353</v>
      </c>
      <c r="U290" s="11" t="s">
        <v>380</v>
      </c>
      <c r="V290" s="12" t="s">
        <v>95</v>
      </c>
      <c r="W290" s="12" t="s">
        <v>46</v>
      </c>
      <c r="X290" s="12" t="s">
        <v>774</v>
      </c>
      <c r="Y290" s="11" t="str">
        <f>HYPERLINK("https://www.stromypodkontrolou.cz/map/tree/d41bce85-5010-4276-b929-4760db78c679/8e9c5e5e-1c7b-4d67-99ef-bf064bc6b38c")</f>
        <v>https://www.stromypodkontrolou.cz/map/tree/d41bce85-5010-4276-b929-4760db78c679/8e9c5e5e-1c7b-4d67-99ef-bf064bc6b38c</v>
      </c>
      <c r="Z290" s="11">
        <v>-750374.61472800002</v>
      </c>
      <c r="AA290" s="11">
        <v>-1001040.042285</v>
      </c>
      <c r="AB290" s="11" t="str">
        <f>HYPERLINK("https://www.mapy.cz?st=search&amp;fr=50.45189139 14.23515715")</f>
        <v>https://www.mapy.cz?st=search&amp;fr=50.45189139 14.23515715</v>
      </c>
      <c r="AC290" s="6">
        <f t="shared" si="65"/>
        <v>240</v>
      </c>
      <c r="AD290" s="6" t="s">
        <v>871</v>
      </c>
      <c r="AE290" s="37"/>
    </row>
    <row r="291" spans="1:31" ht="35.1" customHeight="1" x14ac:dyDescent="0.2">
      <c r="A291" s="26" t="s">
        <v>351</v>
      </c>
      <c r="B291" s="12">
        <v>10764</v>
      </c>
      <c r="C291" s="13" t="s">
        <v>775</v>
      </c>
      <c r="D291" s="14" t="s">
        <v>62</v>
      </c>
      <c r="E291" s="11" t="s">
        <v>63</v>
      </c>
      <c r="F291" s="12" t="s">
        <v>124</v>
      </c>
      <c r="G291" s="12" t="s">
        <v>179</v>
      </c>
      <c r="H291" s="12"/>
      <c r="I291" s="12"/>
      <c r="J291" s="12" t="s">
        <v>90</v>
      </c>
      <c r="K291" s="12" t="s">
        <v>103</v>
      </c>
      <c r="L291" s="12" t="s">
        <v>49</v>
      </c>
      <c r="M291" s="12" t="s">
        <v>37</v>
      </c>
      <c r="N291" s="12" t="s">
        <v>45</v>
      </c>
      <c r="O291" s="12" t="s">
        <v>37</v>
      </c>
      <c r="P291" s="12" t="s">
        <v>37</v>
      </c>
      <c r="Q291" s="12" t="s">
        <v>37</v>
      </c>
      <c r="R291" s="11" t="s">
        <v>776</v>
      </c>
      <c r="S291" s="11" t="s">
        <v>352</v>
      </c>
      <c r="T291" s="11" t="s">
        <v>353</v>
      </c>
      <c r="U291" s="11" t="s">
        <v>382</v>
      </c>
      <c r="V291" s="12" t="s">
        <v>95</v>
      </c>
      <c r="W291" s="12" t="s">
        <v>46</v>
      </c>
      <c r="X291" s="12"/>
      <c r="Y291" s="11" t="str">
        <f>HYPERLINK("https://www.stromypodkontrolou.cz/map/tree/d41bce85-5010-4276-b929-4760db78c679/c4f40729-38b0-4f3f-943e-2326f445e9d8")</f>
        <v>https://www.stromypodkontrolou.cz/map/tree/d41bce85-5010-4276-b929-4760db78c679/c4f40729-38b0-4f3f-943e-2326f445e9d8</v>
      </c>
      <c r="Z291" s="11">
        <v>-750374.17752499995</v>
      </c>
      <c r="AA291" s="11">
        <v>-1001049.7903849999</v>
      </c>
      <c r="AB291" s="11" t="str">
        <f>HYPERLINK("https://www.mapy.cz?st=search&amp;fr=50.45180514 14.23518230")</f>
        <v>https://www.mapy.cz?st=search&amp;fr=50.45180514 14.23518230</v>
      </c>
      <c r="AC291" s="6">
        <f t="shared" si="65"/>
        <v>99</v>
      </c>
      <c r="AD291" s="6" t="s">
        <v>870</v>
      </c>
      <c r="AE291" s="37"/>
    </row>
    <row r="292" spans="1:31" ht="35.1" customHeight="1" x14ac:dyDescent="0.2">
      <c r="A292" s="26" t="s">
        <v>351</v>
      </c>
      <c r="B292" s="12">
        <v>10784</v>
      </c>
      <c r="C292" s="13" t="s">
        <v>777</v>
      </c>
      <c r="D292" s="14" t="s">
        <v>128</v>
      </c>
      <c r="E292" s="11" t="s">
        <v>129</v>
      </c>
      <c r="F292" s="12" t="s">
        <v>85</v>
      </c>
      <c r="G292" s="12" t="s">
        <v>83</v>
      </c>
      <c r="H292" s="12"/>
      <c r="I292" s="12"/>
      <c r="J292" s="12" t="s">
        <v>72</v>
      </c>
      <c r="K292" s="12" t="s">
        <v>43</v>
      </c>
      <c r="L292" s="12" t="s">
        <v>49</v>
      </c>
      <c r="M292" s="12" t="s">
        <v>37</v>
      </c>
      <c r="N292" s="12" t="s">
        <v>105</v>
      </c>
      <c r="O292" s="12" t="s">
        <v>46</v>
      </c>
      <c r="P292" s="12" t="s">
        <v>37</v>
      </c>
      <c r="Q292" s="12" t="s">
        <v>37</v>
      </c>
      <c r="R292" s="11" t="s">
        <v>171</v>
      </c>
      <c r="S292" s="11" t="s">
        <v>352</v>
      </c>
      <c r="T292" s="11" t="s">
        <v>353</v>
      </c>
      <c r="U292" s="11" t="s">
        <v>380</v>
      </c>
      <c r="V292" s="12" t="s">
        <v>95</v>
      </c>
      <c r="W292" s="12" t="s">
        <v>46</v>
      </c>
      <c r="X292" s="12" t="s">
        <v>386</v>
      </c>
      <c r="Y292" s="11" t="str">
        <f>HYPERLINK("https://www.stromypodkontrolou.cz/map/tree/d41bce85-5010-4276-b929-4760db78c679/e90aba20-0374-4156-a893-5406b4e23ef0")</f>
        <v>https://www.stromypodkontrolou.cz/map/tree/d41bce85-5010-4276-b929-4760db78c679/e90aba20-0374-4156-a893-5406b4e23ef0</v>
      </c>
      <c r="Z292" s="11">
        <v>-750389.090616</v>
      </c>
      <c r="AA292" s="11">
        <v>-1001173.199424</v>
      </c>
      <c r="AB292" s="11" t="str">
        <f>HYPERLINK("https://www.mapy.cz?st=search&amp;fr=50.45068778 14.23521549")</f>
        <v>https://www.mapy.cz?st=search&amp;fr=50.45068778 14.23521549</v>
      </c>
      <c r="AC292" s="6">
        <f>(J292-K292)*L292</f>
        <v>144</v>
      </c>
      <c r="AD292" s="6" t="s">
        <v>869</v>
      </c>
      <c r="AE292" s="37"/>
    </row>
    <row r="293" spans="1:31" ht="35.1" customHeight="1" x14ac:dyDescent="0.2">
      <c r="A293" s="26" t="s">
        <v>351</v>
      </c>
      <c r="B293" s="12">
        <v>10792</v>
      </c>
      <c r="C293" s="13" t="s">
        <v>778</v>
      </c>
      <c r="D293" s="14" t="s">
        <v>28</v>
      </c>
      <c r="E293" s="11" t="s">
        <v>29</v>
      </c>
      <c r="F293" s="12" t="s">
        <v>705</v>
      </c>
      <c r="G293" s="12"/>
      <c r="H293" s="12"/>
      <c r="I293" s="12"/>
      <c r="J293" s="12" t="s">
        <v>221</v>
      </c>
      <c r="K293" s="12" t="s">
        <v>32</v>
      </c>
      <c r="L293" s="12" t="s">
        <v>41</v>
      </c>
      <c r="M293" s="12" t="s">
        <v>95</v>
      </c>
      <c r="N293" s="12" t="s">
        <v>105</v>
      </c>
      <c r="O293" s="12" t="s">
        <v>46</v>
      </c>
      <c r="P293" s="12" t="s">
        <v>37</v>
      </c>
      <c r="Q293" s="12" t="s">
        <v>34</v>
      </c>
      <c r="R293" s="11" t="s">
        <v>210</v>
      </c>
      <c r="S293" s="11" t="s">
        <v>352</v>
      </c>
      <c r="T293" s="11" t="s">
        <v>353</v>
      </c>
      <c r="U293" s="11" t="s">
        <v>384</v>
      </c>
      <c r="V293" s="12" t="s">
        <v>95</v>
      </c>
      <c r="W293" s="12" t="s">
        <v>46</v>
      </c>
      <c r="X293" s="12" t="s">
        <v>388</v>
      </c>
      <c r="Y293" s="11" t="str">
        <f>HYPERLINK("https://www.stromypodkontrolou.cz/map/tree/d41bce85-5010-4276-b929-4760db78c679/606771a7-7880-4fe3-9b3d-f136b2bce5f4")</f>
        <v>https://www.stromypodkontrolou.cz/map/tree/d41bce85-5010-4276-b929-4760db78c679/606771a7-7880-4fe3-9b3d-f136b2bce5f4</v>
      </c>
      <c r="Z293" s="11">
        <v>-750408.28292999999</v>
      </c>
      <c r="AA293" s="11">
        <v>-1001292.4869059999</v>
      </c>
      <c r="AB293" s="11" t="str">
        <f>HYPERLINK("https://www.mapy.cz?st=search&amp;fr=50.44960177 14.23518095")</f>
        <v>https://www.mapy.cz?st=search&amp;fr=50.44960177 14.23518095</v>
      </c>
      <c r="AC293" s="6">
        <f>(J293-K293)*L293</f>
        <v>416</v>
      </c>
      <c r="AD293" s="6" t="s">
        <v>879</v>
      </c>
      <c r="AE293" s="37"/>
    </row>
    <row r="294" spans="1:31" ht="35.1" customHeight="1" x14ac:dyDescent="0.2">
      <c r="A294" s="26" t="s">
        <v>351</v>
      </c>
      <c r="B294" s="12">
        <v>10808</v>
      </c>
      <c r="C294" s="13" t="s">
        <v>779</v>
      </c>
      <c r="D294" s="14" t="s">
        <v>28</v>
      </c>
      <c r="E294" s="11" t="s">
        <v>29</v>
      </c>
      <c r="F294" s="12" t="s">
        <v>198</v>
      </c>
      <c r="G294" s="12"/>
      <c r="H294" s="12"/>
      <c r="I294" s="12"/>
      <c r="J294" s="12" t="s">
        <v>161</v>
      </c>
      <c r="K294" s="12" t="s">
        <v>51</v>
      </c>
      <c r="L294" s="12" t="s">
        <v>94</v>
      </c>
      <c r="M294" s="12" t="s">
        <v>34</v>
      </c>
      <c r="N294" s="12" t="s">
        <v>105</v>
      </c>
      <c r="O294" s="12" t="s">
        <v>36</v>
      </c>
      <c r="P294" s="12" t="s">
        <v>36</v>
      </c>
      <c r="Q294" s="12" t="s">
        <v>36</v>
      </c>
      <c r="R294" s="11" t="s">
        <v>205</v>
      </c>
      <c r="S294" s="11" t="s">
        <v>352</v>
      </c>
      <c r="T294" s="11" t="s">
        <v>353</v>
      </c>
      <c r="U294" s="11" t="s">
        <v>382</v>
      </c>
      <c r="V294" s="12" t="s">
        <v>95</v>
      </c>
      <c r="W294" s="12" t="s">
        <v>46</v>
      </c>
      <c r="X294" s="12"/>
      <c r="Y294" s="11" t="str">
        <f>HYPERLINK("https://www.stromypodkontrolou.cz/map/tree/d41bce85-5010-4276-b929-4760db78c679/adb37fa9-c6d7-41a5-88e0-bdf04f074e65")</f>
        <v>https://www.stromypodkontrolou.cz/map/tree/d41bce85-5010-4276-b929-4760db78c679/adb37fa9-c6d7-41a5-88e0-bdf04f074e65</v>
      </c>
      <c r="Z294" s="11">
        <v>-750418.03303199995</v>
      </c>
      <c r="AA294" s="11">
        <v>-1001419.71849</v>
      </c>
      <c r="AB294" s="11" t="str">
        <f>HYPERLINK("https://www.mapy.cz?st=search&amp;fr=50.44845681 14.23529361")</f>
        <v>https://www.mapy.cz?st=search&amp;fr=50.44845681 14.23529361</v>
      </c>
      <c r="AC294" s="6">
        <f t="shared" ref="AC294:AC299" si="66">(J294-K294)*L294</f>
        <v>260</v>
      </c>
      <c r="AD294" s="6" t="s">
        <v>875</v>
      </c>
      <c r="AE294" s="37"/>
    </row>
    <row r="295" spans="1:31" ht="35.1" customHeight="1" x14ac:dyDescent="0.2">
      <c r="A295" s="47" t="s">
        <v>351</v>
      </c>
      <c r="B295" s="46">
        <v>10809</v>
      </c>
      <c r="C295" s="48" t="s">
        <v>780</v>
      </c>
      <c r="D295" s="49" t="s">
        <v>28</v>
      </c>
      <c r="E295" s="45" t="s">
        <v>29</v>
      </c>
      <c r="F295" s="46" t="s">
        <v>257</v>
      </c>
      <c r="G295" s="46"/>
      <c r="H295" s="46"/>
      <c r="I295" s="46"/>
      <c r="J295" s="46" t="s">
        <v>209</v>
      </c>
      <c r="K295" s="46" t="s">
        <v>51</v>
      </c>
      <c r="L295" s="46" t="s">
        <v>136</v>
      </c>
      <c r="M295" s="46" t="s">
        <v>34</v>
      </c>
      <c r="N295" s="46" t="s">
        <v>105</v>
      </c>
      <c r="O295" s="46" t="s">
        <v>36</v>
      </c>
      <c r="P295" s="46" t="s">
        <v>36</v>
      </c>
      <c r="Q295" s="46" t="s">
        <v>36</v>
      </c>
      <c r="R295" s="45"/>
      <c r="S295" s="45" t="s">
        <v>352</v>
      </c>
      <c r="T295" s="45" t="s">
        <v>353</v>
      </c>
      <c r="U295" s="11" t="s">
        <v>380</v>
      </c>
      <c r="V295" s="12" t="s">
        <v>95</v>
      </c>
      <c r="W295" s="12" t="s">
        <v>46</v>
      </c>
      <c r="X295" s="12" t="s">
        <v>407</v>
      </c>
      <c r="Y295" s="45" t="str">
        <f>HYPERLINK("https://www.stromypodkontrolou.cz/map/tree/d41bce85-5010-4276-b929-4760db78c679/835a2c6f-3015-4898-a88d-e4b49e43d216")</f>
        <v>https://www.stromypodkontrolou.cz/map/tree/d41bce85-5010-4276-b929-4760db78c679/835a2c6f-3015-4898-a88d-e4b49e43d216</v>
      </c>
      <c r="Z295" s="45">
        <v>-750418.53818000003</v>
      </c>
      <c r="AA295" s="45">
        <v>-1001425.210835</v>
      </c>
      <c r="AB295" s="45" t="str">
        <f>HYPERLINK("https://www.mapy.cz?st=search&amp;fr=50.44840728 14.23529729")</f>
        <v>https://www.mapy.cz?st=search&amp;fr=50.44840728 14.23529729</v>
      </c>
      <c r="AC295" s="6">
        <f t="shared" si="66"/>
        <v>294</v>
      </c>
      <c r="AD295" s="6" t="s">
        <v>871</v>
      </c>
      <c r="AE295" s="37"/>
    </row>
    <row r="296" spans="1:31" ht="35.1" customHeight="1" x14ac:dyDescent="0.2">
      <c r="A296" s="47"/>
      <c r="B296" s="46"/>
      <c r="C296" s="48"/>
      <c r="D296" s="49"/>
      <c r="E296" s="45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5"/>
      <c r="S296" s="45"/>
      <c r="T296" s="45"/>
      <c r="U296" s="11" t="s">
        <v>382</v>
      </c>
      <c r="V296" s="12" t="s">
        <v>95</v>
      </c>
      <c r="W296" s="12" t="s">
        <v>46</v>
      </c>
      <c r="X296" s="12"/>
      <c r="Y296" s="45"/>
      <c r="Z296" s="45"/>
      <c r="AA296" s="45"/>
      <c r="AB296" s="45"/>
      <c r="AC296" s="6">
        <f t="shared" si="66"/>
        <v>0</v>
      </c>
      <c r="AD296" s="6" t="s">
        <v>877</v>
      </c>
      <c r="AE296" s="37"/>
    </row>
    <row r="297" spans="1:31" ht="35.1" customHeight="1" x14ac:dyDescent="0.2">
      <c r="A297" s="47" t="s">
        <v>351</v>
      </c>
      <c r="B297" s="46">
        <v>10812</v>
      </c>
      <c r="C297" s="48" t="s">
        <v>781</v>
      </c>
      <c r="D297" s="49" t="s">
        <v>28</v>
      </c>
      <c r="E297" s="45" t="s">
        <v>29</v>
      </c>
      <c r="F297" s="46" t="s">
        <v>188</v>
      </c>
      <c r="G297" s="46"/>
      <c r="H297" s="46"/>
      <c r="I297" s="46"/>
      <c r="J297" s="46" t="s">
        <v>221</v>
      </c>
      <c r="K297" s="46" t="s">
        <v>42</v>
      </c>
      <c r="L297" s="46" t="s">
        <v>94</v>
      </c>
      <c r="M297" s="46" t="s">
        <v>34</v>
      </c>
      <c r="N297" s="46" t="s">
        <v>105</v>
      </c>
      <c r="O297" s="46" t="s">
        <v>46</v>
      </c>
      <c r="P297" s="46" t="s">
        <v>37</v>
      </c>
      <c r="Q297" s="46" t="s">
        <v>37</v>
      </c>
      <c r="R297" s="45" t="s">
        <v>153</v>
      </c>
      <c r="S297" s="45" t="s">
        <v>352</v>
      </c>
      <c r="T297" s="45" t="s">
        <v>353</v>
      </c>
      <c r="U297" s="11" t="s">
        <v>382</v>
      </c>
      <c r="V297" s="12" t="s">
        <v>95</v>
      </c>
      <c r="W297" s="12" t="s">
        <v>46</v>
      </c>
      <c r="X297" s="12"/>
      <c r="Y297" s="45" t="str">
        <f>HYPERLINK("https://www.stromypodkontrolou.cz/map/tree/d41bce85-5010-4276-b929-4760db78c679/af06cced-9835-43fa-a51d-b7f66810c5ab")</f>
        <v>https://www.stromypodkontrolou.cz/map/tree/d41bce85-5010-4276-b929-4760db78c679/af06cced-9835-43fa-a51d-b7f66810c5ab</v>
      </c>
      <c r="Z297" s="45">
        <v>-750419.99371299997</v>
      </c>
      <c r="AA297" s="45">
        <v>-1001443.662589</v>
      </c>
      <c r="AB297" s="45" t="str">
        <f>HYPERLINK("https://www.mapy.cz?st=search&amp;fr=50.44824118 14.23531305")</f>
        <v>https://www.mapy.cz?st=search&amp;fr=50.44824118 14.23531305</v>
      </c>
      <c r="AC297" s="6">
        <f t="shared" si="66"/>
        <v>273</v>
      </c>
      <c r="AD297" s="6" t="s">
        <v>875</v>
      </c>
      <c r="AE297" s="37"/>
    </row>
    <row r="298" spans="1:31" ht="35.1" customHeight="1" x14ac:dyDescent="0.2">
      <c r="A298" s="47"/>
      <c r="B298" s="46"/>
      <c r="C298" s="48"/>
      <c r="D298" s="49"/>
      <c r="E298" s="45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5"/>
      <c r="S298" s="45"/>
      <c r="T298" s="45"/>
      <c r="U298" s="11" t="s">
        <v>480</v>
      </c>
      <c r="V298" s="12" t="s">
        <v>95</v>
      </c>
      <c r="W298" s="12" t="s">
        <v>46</v>
      </c>
      <c r="X298" s="12" t="s">
        <v>481</v>
      </c>
      <c r="Y298" s="45"/>
      <c r="Z298" s="45"/>
      <c r="AA298" s="45"/>
      <c r="AB298" s="45"/>
      <c r="AC298" s="6">
        <f t="shared" si="66"/>
        <v>0</v>
      </c>
      <c r="AD298" s="6" t="s">
        <v>878</v>
      </c>
      <c r="AE298" s="37"/>
    </row>
    <row r="299" spans="1:31" ht="35.1" customHeight="1" x14ac:dyDescent="0.2">
      <c r="A299" s="26" t="s">
        <v>351</v>
      </c>
      <c r="B299" s="12">
        <v>10814</v>
      </c>
      <c r="C299" s="13" t="s">
        <v>782</v>
      </c>
      <c r="D299" s="14" t="s">
        <v>28</v>
      </c>
      <c r="E299" s="11" t="s">
        <v>29</v>
      </c>
      <c r="F299" s="12" t="s">
        <v>628</v>
      </c>
      <c r="G299" s="12" t="s">
        <v>235</v>
      </c>
      <c r="H299" s="12"/>
      <c r="I299" s="12"/>
      <c r="J299" s="12" t="s">
        <v>221</v>
      </c>
      <c r="K299" s="12" t="s">
        <v>144</v>
      </c>
      <c r="L299" s="12" t="s">
        <v>136</v>
      </c>
      <c r="M299" s="12" t="s">
        <v>34</v>
      </c>
      <c r="N299" s="12" t="s">
        <v>105</v>
      </c>
      <c r="O299" s="12" t="s">
        <v>36</v>
      </c>
      <c r="P299" s="12" t="s">
        <v>36</v>
      </c>
      <c r="Q299" s="12" t="s">
        <v>36</v>
      </c>
      <c r="R299" s="11" t="s">
        <v>155</v>
      </c>
      <c r="S299" s="11" t="s">
        <v>352</v>
      </c>
      <c r="T299" s="11" t="s">
        <v>353</v>
      </c>
      <c r="U299" s="11" t="s">
        <v>382</v>
      </c>
      <c r="V299" s="12" t="s">
        <v>95</v>
      </c>
      <c r="W299" s="12" t="s">
        <v>46</v>
      </c>
      <c r="X299" s="12"/>
      <c r="Y299" s="11" t="str">
        <f>HYPERLINK("https://www.stromypodkontrolou.cz/map/tree/d41bce85-5010-4276-b929-4760db78c679/d95b05fc-968f-4de7-b6da-98fcdb9a1ba7")</f>
        <v>https://www.stromypodkontrolou.cz/map/tree/d41bce85-5010-4276-b929-4760db78c679/d95b05fc-968f-4de7-b6da-98fcdb9a1ba7</v>
      </c>
      <c r="Z299" s="11">
        <v>-750420.784721</v>
      </c>
      <c r="AA299" s="11">
        <v>-1001460.28919</v>
      </c>
      <c r="AB299" s="11" t="str">
        <f>HYPERLINK("https://www.mapy.cz?st=search&amp;fr=50.44809216 14.23533451")</f>
        <v>https://www.mapy.cz?st=search&amp;fr=50.44809216 14.23533451</v>
      </c>
      <c r="AC299" s="6">
        <f t="shared" si="66"/>
        <v>322</v>
      </c>
      <c r="AD299" s="6" t="s">
        <v>875</v>
      </c>
      <c r="AE299" s="37"/>
    </row>
    <row r="300" spans="1:31" ht="35.1" customHeight="1" x14ac:dyDescent="0.2">
      <c r="A300" s="26" t="s">
        <v>351</v>
      </c>
      <c r="B300" s="12">
        <v>10816</v>
      </c>
      <c r="C300" s="13" t="s">
        <v>783</v>
      </c>
      <c r="D300" s="14" t="s">
        <v>28</v>
      </c>
      <c r="E300" s="11" t="s">
        <v>29</v>
      </c>
      <c r="F300" s="12" t="s">
        <v>329</v>
      </c>
      <c r="G300" s="12"/>
      <c r="H300" s="12"/>
      <c r="I300" s="12"/>
      <c r="J300" s="12" t="s">
        <v>221</v>
      </c>
      <c r="K300" s="12" t="s">
        <v>144</v>
      </c>
      <c r="L300" s="12" t="s">
        <v>136</v>
      </c>
      <c r="M300" s="12" t="s">
        <v>95</v>
      </c>
      <c r="N300" s="12" t="s">
        <v>105</v>
      </c>
      <c r="O300" s="12" t="s">
        <v>36</v>
      </c>
      <c r="P300" s="12" t="s">
        <v>37</v>
      </c>
      <c r="Q300" s="12" t="s">
        <v>34</v>
      </c>
      <c r="R300" s="11" t="s">
        <v>784</v>
      </c>
      <c r="S300" s="11" t="s">
        <v>352</v>
      </c>
      <c r="T300" s="11" t="s">
        <v>353</v>
      </c>
      <c r="U300" s="11" t="s">
        <v>384</v>
      </c>
      <c r="V300" s="12" t="s">
        <v>95</v>
      </c>
      <c r="W300" s="12" t="s">
        <v>46</v>
      </c>
      <c r="X300" s="12" t="s">
        <v>388</v>
      </c>
      <c r="Y300" s="11" t="str">
        <f>HYPERLINK("https://www.stromypodkontrolou.cz/map/tree/d41bce85-5010-4276-b929-4760db78c679/39bb1f11-4a65-4f4b-8c6f-8cfb0385a36c")</f>
        <v>https://www.stromypodkontrolou.cz/map/tree/d41bce85-5010-4276-b929-4760db78c679/39bb1f11-4a65-4f4b-8c6f-8cfb0385a36c</v>
      </c>
      <c r="Z300" s="11">
        <v>-750425.33059999999</v>
      </c>
      <c r="AA300" s="11">
        <v>-1001502.16744</v>
      </c>
      <c r="AB300" s="11" t="str">
        <f>HYPERLINK("https://www.mapy.cz?st=search&amp;fr=50.44771363 14.23535295")</f>
        <v>https://www.mapy.cz?st=search&amp;fr=50.44771363 14.23535295</v>
      </c>
      <c r="AC300" s="6">
        <f t="shared" ref="AC300:AC301" si="67">(J300-K300)*L300</f>
        <v>322</v>
      </c>
      <c r="AD300" s="6" t="s">
        <v>879</v>
      </c>
      <c r="AE300" s="37"/>
    </row>
    <row r="301" spans="1:31" ht="35.1" customHeight="1" x14ac:dyDescent="0.2">
      <c r="A301" s="26" t="s">
        <v>351</v>
      </c>
      <c r="B301" s="12">
        <v>10817</v>
      </c>
      <c r="C301" s="13" t="s">
        <v>785</v>
      </c>
      <c r="D301" s="14" t="s">
        <v>28</v>
      </c>
      <c r="E301" s="11" t="s">
        <v>29</v>
      </c>
      <c r="F301" s="12" t="s">
        <v>270</v>
      </c>
      <c r="G301" s="12" t="s">
        <v>151</v>
      </c>
      <c r="H301" s="12"/>
      <c r="I301" s="12"/>
      <c r="J301" s="12" t="s">
        <v>221</v>
      </c>
      <c r="K301" s="12" t="s">
        <v>113</v>
      </c>
      <c r="L301" s="12" t="s">
        <v>118</v>
      </c>
      <c r="M301" s="12" t="s">
        <v>34</v>
      </c>
      <c r="N301" s="12" t="s">
        <v>105</v>
      </c>
      <c r="O301" s="12" t="s">
        <v>36</v>
      </c>
      <c r="P301" s="12" t="s">
        <v>37</v>
      </c>
      <c r="Q301" s="12" t="s">
        <v>34</v>
      </c>
      <c r="R301" s="11" t="s">
        <v>247</v>
      </c>
      <c r="S301" s="11" t="s">
        <v>352</v>
      </c>
      <c r="T301" s="11" t="s">
        <v>353</v>
      </c>
      <c r="U301" s="11" t="s">
        <v>384</v>
      </c>
      <c r="V301" s="12" t="s">
        <v>95</v>
      </c>
      <c r="W301" s="12" t="s">
        <v>46</v>
      </c>
      <c r="X301" s="12" t="s">
        <v>388</v>
      </c>
      <c r="Y301" s="11" t="str">
        <f>HYPERLINK("https://www.stromypodkontrolou.cz/map/tree/d41bce85-5010-4276-b929-4760db78c679/d8c6041a-a283-4022-886c-22e695a8e201")</f>
        <v>https://www.stromypodkontrolou.cz/map/tree/d41bce85-5010-4276-b929-4760db78c679/d8c6041a-a283-4022-886c-22e695a8e201</v>
      </c>
      <c r="Z301" s="11">
        <v>-750428.329012</v>
      </c>
      <c r="AA301" s="11">
        <v>-1001595.2916070001</v>
      </c>
      <c r="AB301" s="11" t="str">
        <f>HYPERLINK("https://www.mapy.cz?st=search&amp;fr=50.44688077 14.23549310")</f>
        <v>https://www.mapy.cz?st=search&amp;fr=50.44688077 14.23549310</v>
      </c>
      <c r="AC301" s="6">
        <f t="shared" si="67"/>
        <v>375</v>
      </c>
      <c r="AD301" s="6" t="s">
        <v>879</v>
      </c>
      <c r="AE301" s="37"/>
    </row>
    <row r="302" spans="1:31" ht="35.1" customHeight="1" x14ac:dyDescent="0.2">
      <c r="A302" s="47" t="s">
        <v>351</v>
      </c>
      <c r="B302" s="46">
        <v>10827</v>
      </c>
      <c r="C302" s="48" t="s">
        <v>786</v>
      </c>
      <c r="D302" s="49" t="s">
        <v>28</v>
      </c>
      <c r="E302" s="45" t="s">
        <v>29</v>
      </c>
      <c r="F302" s="46" t="s">
        <v>53</v>
      </c>
      <c r="G302" s="46"/>
      <c r="H302" s="46"/>
      <c r="I302" s="46"/>
      <c r="J302" s="46" t="s">
        <v>170</v>
      </c>
      <c r="K302" s="46" t="s">
        <v>32</v>
      </c>
      <c r="L302" s="46" t="s">
        <v>48</v>
      </c>
      <c r="M302" s="46" t="s">
        <v>34</v>
      </c>
      <c r="N302" s="46" t="s">
        <v>45</v>
      </c>
      <c r="O302" s="46" t="s">
        <v>36</v>
      </c>
      <c r="P302" s="46" t="s">
        <v>36</v>
      </c>
      <c r="Q302" s="46" t="s">
        <v>37</v>
      </c>
      <c r="R302" s="45" t="s">
        <v>159</v>
      </c>
      <c r="S302" s="45" t="s">
        <v>352</v>
      </c>
      <c r="T302" s="45" t="s">
        <v>353</v>
      </c>
      <c r="U302" s="11" t="s">
        <v>380</v>
      </c>
      <c r="V302" s="12" t="s">
        <v>95</v>
      </c>
      <c r="W302" s="12" t="s">
        <v>46</v>
      </c>
      <c r="X302" s="12" t="s">
        <v>439</v>
      </c>
      <c r="Y302" s="45" t="str">
        <f>HYPERLINK("https://www.stromypodkontrolou.cz/map/tree/d41bce85-5010-4276-b929-4760db78c679/74d5bd0a-0233-4d7d-b7ea-e33669697a8e")</f>
        <v>https://www.stromypodkontrolou.cz/map/tree/d41bce85-5010-4276-b929-4760db78c679/74d5bd0a-0233-4d7d-b7ea-e33669697a8e</v>
      </c>
      <c r="Z302" s="45">
        <v>-750430.00611700001</v>
      </c>
      <c r="AA302" s="45">
        <v>-1001659.082992</v>
      </c>
      <c r="AB302" s="45" t="str">
        <f>HYPERLINK("https://www.mapy.cz?st=search&amp;fr=50.44631072 14.23559435")</f>
        <v>https://www.mapy.cz?st=search&amp;fr=50.44631072 14.23559435</v>
      </c>
      <c r="AC302" s="6">
        <f t="shared" ref="AC302:AC304" si="68">(J302-K302)*L302</f>
        <v>220</v>
      </c>
      <c r="AD302" s="6" t="s">
        <v>871</v>
      </c>
      <c r="AE302" s="37"/>
    </row>
    <row r="303" spans="1:31" ht="35.1" customHeight="1" x14ac:dyDescent="0.2">
      <c r="A303" s="47"/>
      <c r="B303" s="46"/>
      <c r="C303" s="48"/>
      <c r="D303" s="49"/>
      <c r="E303" s="45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5"/>
      <c r="S303" s="45"/>
      <c r="T303" s="45"/>
      <c r="U303" s="11" t="s">
        <v>382</v>
      </c>
      <c r="V303" s="12" t="s">
        <v>95</v>
      </c>
      <c r="W303" s="12" t="s">
        <v>46</v>
      </c>
      <c r="X303" s="12"/>
      <c r="Y303" s="45"/>
      <c r="Z303" s="45"/>
      <c r="AA303" s="45"/>
      <c r="AB303" s="45"/>
      <c r="AC303" s="6">
        <f t="shared" si="68"/>
        <v>0</v>
      </c>
      <c r="AD303" s="6" t="s">
        <v>870</v>
      </c>
      <c r="AE303" s="37"/>
    </row>
    <row r="304" spans="1:31" ht="34.5" customHeight="1" x14ac:dyDescent="0.2">
      <c r="A304" s="26" t="s">
        <v>351</v>
      </c>
      <c r="B304" s="12">
        <v>10828</v>
      </c>
      <c r="C304" s="13" t="s">
        <v>787</v>
      </c>
      <c r="D304" s="14" t="s">
        <v>28</v>
      </c>
      <c r="E304" s="11" t="s">
        <v>29</v>
      </c>
      <c r="F304" s="12" t="s">
        <v>30</v>
      </c>
      <c r="G304" s="12"/>
      <c r="H304" s="12"/>
      <c r="I304" s="12"/>
      <c r="J304" s="12" t="s">
        <v>209</v>
      </c>
      <c r="K304" s="12" t="s">
        <v>76</v>
      </c>
      <c r="L304" s="12" t="s">
        <v>48</v>
      </c>
      <c r="M304" s="12" t="s">
        <v>34</v>
      </c>
      <c r="N304" s="12" t="s">
        <v>105</v>
      </c>
      <c r="O304" s="12" t="s">
        <v>46</v>
      </c>
      <c r="P304" s="12" t="s">
        <v>37</v>
      </c>
      <c r="Q304" s="12" t="s">
        <v>37</v>
      </c>
      <c r="R304" s="11" t="s">
        <v>159</v>
      </c>
      <c r="S304" s="11" t="s">
        <v>352</v>
      </c>
      <c r="T304" s="11" t="s">
        <v>353</v>
      </c>
      <c r="U304" s="11" t="s">
        <v>380</v>
      </c>
      <c r="V304" s="12" t="s">
        <v>95</v>
      </c>
      <c r="W304" s="12" t="s">
        <v>46</v>
      </c>
      <c r="X304" s="12" t="s">
        <v>439</v>
      </c>
      <c r="Y304" s="11" t="str">
        <f>HYPERLINK("https://www.stromypodkontrolou.cz/map/tree/d41bce85-5010-4276-b929-4760db78c679/547a9cea-c69e-4676-ae01-6f1fa14d3212")</f>
        <v>https://www.stromypodkontrolou.cz/map/tree/d41bce85-5010-4276-b929-4760db78c679/547a9cea-c69e-4676-ae01-6f1fa14d3212</v>
      </c>
      <c r="Z304" s="11">
        <v>-750430.23752800003</v>
      </c>
      <c r="AA304" s="11">
        <v>-1001661.592453</v>
      </c>
      <c r="AB304" s="11" t="str">
        <f>HYPERLINK("https://www.mapy.cz?st=search&amp;fr=50.44628808 14.23559603")</f>
        <v>https://www.mapy.cz?st=search&amp;fr=50.44628808 14.23559603</v>
      </c>
      <c r="AC304" s="6">
        <f t="shared" si="68"/>
        <v>230</v>
      </c>
      <c r="AD304" s="6" t="s">
        <v>871</v>
      </c>
      <c r="AE304" s="37"/>
    </row>
    <row r="305" spans="1:31" ht="35.1" customHeight="1" x14ac:dyDescent="0.2">
      <c r="A305" s="26" t="s">
        <v>351</v>
      </c>
      <c r="B305" s="12">
        <v>10846</v>
      </c>
      <c r="C305" s="13" t="s">
        <v>788</v>
      </c>
      <c r="D305" s="14" t="s">
        <v>28</v>
      </c>
      <c r="E305" s="11" t="s">
        <v>29</v>
      </c>
      <c r="F305" s="12" t="s">
        <v>152</v>
      </c>
      <c r="G305" s="12" t="s">
        <v>92</v>
      </c>
      <c r="H305" s="12"/>
      <c r="I305" s="12"/>
      <c r="J305" s="12" t="s">
        <v>31</v>
      </c>
      <c r="K305" s="12" t="s">
        <v>76</v>
      </c>
      <c r="L305" s="12" t="s">
        <v>104</v>
      </c>
      <c r="M305" s="12" t="s">
        <v>34</v>
      </c>
      <c r="N305" s="12" t="s">
        <v>45</v>
      </c>
      <c r="O305" s="12" t="s">
        <v>36</v>
      </c>
      <c r="P305" s="12" t="s">
        <v>37</v>
      </c>
      <c r="Q305" s="12" t="s">
        <v>37</v>
      </c>
      <c r="R305" s="11" t="s">
        <v>73</v>
      </c>
      <c r="S305" s="11" t="s">
        <v>352</v>
      </c>
      <c r="T305" s="11" t="s">
        <v>353</v>
      </c>
      <c r="U305" s="11" t="s">
        <v>384</v>
      </c>
      <c r="V305" s="12" t="s">
        <v>95</v>
      </c>
      <c r="W305" s="12" t="s">
        <v>46</v>
      </c>
      <c r="X305" s="12" t="s">
        <v>388</v>
      </c>
      <c r="Y305" s="11" t="str">
        <f>HYPERLINK("https://www.stromypodkontrolou.cz/map/tree/d41bce85-5010-4276-b929-4760db78c679/1af6b503-95a2-4eff-a92f-01721063566f")</f>
        <v>https://www.stromypodkontrolou.cz/map/tree/d41bce85-5010-4276-b929-4760db78c679/1af6b503-95a2-4eff-a92f-01721063566f</v>
      </c>
      <c r="Z305" s="11">
        <v>-750431.83576599997</v>
      </c>
      <c r="AA305" s="11">
        <v>-1001747.817348</v>
      </c>
      <c r="AB305" s="11" t="str">
        <f>HYPERLINK("https://www.mapy.cz?st=search&amp;fr=50.44551840 14.23574221")</f>
        <v>https://www.mapy.cz?st=search&amp;fr=50.44551840 14.23574221</v>
      </c>
      <c r="AC305" s="6">
        <f t="shared" ref="AC305:AC310" si="69">(J305-K305)*L305</f>
        <v>209</v>
      </c>
      <c r="AD305" s="6" t="s">
        <v>865</v>
      </c>
      <c r="AE305" s="37"/>
    </row>
    <row r="306" spans="1:31" ht="35.1" customHeight="1" x14ac:dyDescent="0.2">
      <c r="A306" s="26" t="s">
        <v>351</v>
      </c>
      <c r="B306" s="12">
        <v>10847</v>
      </c>
      <c r="C306" s="13" t="s">
        <v>789</v>
      </c>
      <c r="D306" s="14" t="s">
        <v>28</v>
      </c>
      <c r="E306" s="11" t="s">
        <v>29</v>
      </c>
      <c r="F306" s="12" t="s">
        <v>790</v>
      </c>
      <c r="G306" s="12"/>
      <c r="H306" s="12"/>
      <c r="I306" s="12"/>
      <c r="J306" s="12" t="s">
        <v>154</v>
      </c>
      <c r="K306" s="12" t="s">
        <v>113</v>
      </c>
      <c r="L306" s="12" t="s">
        <v>104</v>
      </c>
      <c r="M306" s="12" t="s">
        <v>34</v>
      </c>
      <c r="N306" s="12" t="s">
        <v>45</v>
      </c>
      <c r="O306" s="12" t="s">
        <v>36</v>
      </c>
      <c r="P306" s="12" t="s">
        <v>37</v>
      </c>
      <c r="Q306" s="12" t="s">
        <v>37</v>
      </c>
      <c r="R306" s="11" t="s">
        <v>159</v>
      </c>
      <c r="S306" s="11" t="s">
        <v>352</v>
      </c>
      <c r="T306" s="11" t="s">
        <v>353</v>
      </c>
      <c r="U306" s="11" t="s">
        <v>384</v>
      </c>
      <c r="V306" s="12" t="s">
        <v>95</v>
      </c>
      <c r="W306" s="12" t="s">
        <v>46</v>
      </c>
      <c r="X306" s="12" t="s">
        <v>388</v>
      </c>
      <c r="Y306" s="11" t="str">
        <f>HYPERLINK("https://www.stromypodkontrolou.cz/map/tree/d41bce85-5010-4276-b929-4760db78c679/b312b507-717e-4fc8-ab91-26f44fce8273")</f>
        <v>https://www.stromypodkontrolou.cz/map/tree/d41bce85-5010-4276-b929-4760db78c679/b312b507-717e-4fc8-ab91-26f44fce8273</v>
      </c>
      <c r="Z306" s="11">
        <v>-750432.00768299995</v>
      </c>
      <c r="AA306" s="11">
        <v>-1001759.8554389999</v>
      </c>
      <c r="AB306" s="11" t="str">
        <f>HYPERLINK("https://www.mapy.cz?st=search&amp;fr=50.44541100 14.23576333")</f>
        <v>https://www.mapy.cz?st=search&amp;fr=50.44541100 14.23576333</v>
      </c>
      <c r="AC306" s="6">
        <f t="shared" si="69"/>
        <v>242</v>
      </c>
      <c r="AD306" s="6" t="s">
        <v>865</v>
      </c>
      <c r="AE306" s="37"/>
    </row>
    <row r="307" spans="1:31" ht="35.1" customHeight="1" x14ac:dyDescent="0.2">
      <c r="A307" s="26" t="s">
        <v>351</v>
      </c>
      <c r="B307" s="12">
        <v>10848</v>
      </c>
      <c r="C307" s="13" t="s">
        <v>791</v>
      </c>
      <c r="D307" s="14" t="s">
        <v>28</v>
      </c>
      <c r="E307" s="11" t="s">
        <v>29</v>
      </c>
      <c r="F307" s="12" t="s">
        <v>792</v>
      </c>
      <c r="G307" s="12"/>
      <c r="H307" s="12"/>
      <c r="I307" s="12"/>
      <c r="J307" s="12" t="s">
        <v>31</v>
      </c>
      <c r="K307" s="12" t="s">
        <v>113</v>
      </c>
      <c r="L307" s="12" t="s">
        <v>47</v>
      </c>
      <c r="M307" s="12" t="s">
        <v>95</v>
      </c>
      <c r="N307" s="12" t="s">
        <v>45</v>
      </c>
      <c r="O307" s="12" t="s">
        <v>36</v>
      </c>
      <c r="P307" s="12" t="s">
        <v>34</v>
      </c>
      <c r="Q307" s="12" t="s">
        <v>34</v>
      </c>
      <c r="R307" s="11" t="s">
        <v>159</v>
      </c>
      <c r="S307" s="11" t="s">
        <v>352</v>
      </c>
      <c r="T307" s="11" t="s">
        <v>353</v>
      </c>
      <c r="U307" s="11" t="s">
        <v>380</v>
      </c>
      <c r="V307" s="12" t="s">
        <v>95</v>
      </c>
      <c r="W307" s="12" t="s">
        <v>46</v>
      </c>
      <c r="X307" s="12" t="s">
        <v>439</v>
      </c>
      <c r="Y307" s="11" t="str">
        <f>HYPERLINK("https://www.stromypodkontrolou.cz/map/tree/d41bce85-5010-4276-b929-4760db78c679/773945c1-2e66-4120-be16-69a844c8f3ce")</f>
        <v>https://www.stromypodkontrolou.cz/map/tree/d41bce85-5010-4276-b929-4760db78c679/773945c1-2e66-4120-be16-69a844c8f3ce</v>
      </c>
      <c r="Z307" s="11">
        <v>-750432.10895999998</v>
      </c>
      <c r="AA307" s="11">
        <v>-1001775.164811</v>
      </c>
      <c r="AB307" s="11" t="str">
        <f>HYPERLINK("https://www.mapy.cz?st=search&amp;fr=50.44527457 14.23579183")</f>
        <v>https://www.mapy.cz?st=search&amp;fr=50.44527457 14.23579183</v>
      </c>
      <c r="AC307" s="6">
        <f t="shared" si="69"/>
        <v>240</v>
      </c>
      <c r="AD307" s="6" t="s">
        <v>871</v>
      </c>
      <c r="AE307" s="37"/>
    </row>
    <row r="308" spans="1:31" ht="35.1" customHeight="1" x14ac:dyDescent="0.2">
      <c r="A308" s="47" t="s">
        <v>351</v>
      </c>
      <c r="B308" s="46">
        <v>10849</v>
      </c>
      <c r="C308" s="48" t="s">
        <v>793</v>
      </c>
      <c r="D308" s="49" t="s">
        <v>28</v>
      </c>
      <c r="E308" s="45" t="s">
        <v>29</v>
      </c>
      <c r="F308" s="46" t="s">
        <v>532</v>
      </c>
      <c r="G308" s="46"/>
      <c r="H308" s="46"/>
      <c r="I308" s="46"/>
      <c r="J308" s="46" t="s">
        <v>209</v>
      </c>
      <c r="K308" s="46" t="s">
        <v>113</v>
      </c>
      <c r="L308" s="46" t="s">
        <v>104</v>
      </c>
      <c r="M308" s="46" t="s">
        <v>95</v>
      </c>
      <c r="N308" s="46" t="s">
        <v>45</v>
      </c>
      <c r="O308" s="46" t="s">
        <v>36</v>
      </c>
      <c r="P308" s="46" t="s">
        <v>37</v>
      </c>
      <c r="Q308" s="46" t="s">
        <v>37</v>
      </c>
      <c r="R308" s="45" t="s">
        <v>159</v>
      </c>
      <c r="S308" s="45" t="s">
        <v>352</v>
      </c>
      <c r="T308" s="45" t="s">
        <v>353</v>
      </c>
      <c r="U308" s="11" t="s">
        <v>480</v>
      </c>
      <c r="V308" s="12" t="s">
        <v>95</v>
      </c>
      <c r="W308" s="12" t="s">
        <v>46</v>
      </c>
      <c r="X308" s="12" t="s">
        <v>422</v>
      </c>
      <c r="Y308" s="45" t="str">
        <f>HYPERLINK("https://www.stromypodkontrolou.cz/map/tree/d41bce85-5010-4276-b929-4760db78c679/60cfde70-5f3b-4582-813c-879a0e3f8d30")</f>
        <v>https://www.stromypodkontrolou.cz/map/tree/d41bce85-5010-4276-b929-4760db78c679/60cfde70-5f3b-4582-813c-879a0e3f8d30</v>
      </c>
      <c r="Z308" s="45">
        <v>-750430.16828600003</v>
      </c>
      <c r="AA308" s="45">
        <v>-1001793.062491</v>
      </c>
      <c r="AB308" s="45" t="str">
        <f>HYPERLINK("https://www.mapy.cz?st=search&amp;fr=50.44511764 14.23585385")</f>
        <v>https://www.mapy.cz?st=search&amp;fr=50.44511764 14.23585385</v>
      </c>
      <c r="AC308" s="6">
        <f t="shared" si="69"/>
        <v>264</v>
      </c>
      <c r="AD308" s="6" t="s">
        <v>878</v>
      </c>
      <c r="AE308" s="37"/>
    </row>
    <row r="309" spans="1:31" ht="35.1" customHeight="1" x14ac:dyDescent="0.2">
      <c r="A309" s="47"/>
      <c r="B309" s="46"/>
      <c r="C309" s="48"/>
      <c r="D309" s="49"/>
      <c r="E309" s="45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5"/>
      <c r="S309" s="45"/>
      <c r="T309" s="45"/>
      <c r="U309" s="11" t="s">
        <v>382</v>
      </c>
      <c r="V309" s="12" t="s">
        <v>95</v>
      </c>
      <c r="W309" s="12" t="s">
        <v>46</v>
      </c>
      <c r="X309" s="12"/>
      <c r="Y309" s="45"/>
      <c r="Z309" s="45"/>
      <c r="AA309" s="45"/>
      <c r="AB309" s="45"/>
      <c r="AC309" s="6">
        <f t="shared" si="69"/>
        <v>0</v>
      </c>
      <c r="AD309" s="6" t="s">
        <v>875</v>
      </c>
      <c r="AE309" s="37"/>
    </row>
    <row r="310" spans="1:31" ht="35.1" customHeight="1" x14ac:dyDescent="0.2">
      <c r="A310" s="26" t="s">
        <v>351</v>
      </c>
      <c r="B310" s="12">
        <v>10850</v>
      </c>
      <c r="C310" s="13" t="s">
        <v>794</v>
      </c>
      <c r="D310" s="14" t="s">
        <v>28</v>
      </c>
      <c r="E310" s="11" t="s">
        <v>29</v>
      </c>
      <c r="F310" s="12" t="s">
        <v>215</v>
      </c>
      <c r="G310" s="12"/>
      <c r="H310" s="12"/>
      <c r="I310" s="12"/>
      <c r="J310" s="12" t="s">
        <v>209</v>
      </c>
      <c r="K310" s="12" t="s">
        <v>113</v>
      </c>
      <c r="L310" s="12" t="s">
        <v>104</v>
      </c>
      <c r="M310" s="12" t="s">
        <v>95</v>
      </c>
      <c r="N310" s="12" t="s">
        <v>105</v>
      </c>
      <c r="O310" s="12" t="s">
        <v>36</v>
      </c>
      <c r="P310" s="12" t="s">
        <v>37</v>
      </c>
      <c r="Q310" s="12" t="s">
        <v>37</v>
      </c>
      <c r="R310" s="11" t="s">
        <v>159</v>
      </c>
      <c r="S310" s="11" t="s">
        <v>352</v>
      </c>
      <c r="T310" s="11" t="s">
        <v>353</v>
      </c>
      <c r="U310" s="11" t="s">
        <v>480</v>
      </c>
      <c r="V310" s="12" t="s">
        <v>95</v>
      </c>
      <c r="W310" s="12" t="s">
        <v>46</v>
      </c>
      <c r="X310" s="12" t="s">
        <v>422</v>
      </c>
      <c r="Y310" s="11" t="str">
        <f>HYPERLINK("https://www.stromypodkontrolou.cz/map/tree/d41bce85-5010-4276-b929-4760db78c679/4b6e0b9a-6db9-4973-887c-b551e85c33de")</f>
        <v>https://www.stromypodkontrolou.cz/map/tree/d41bce85-5010-4276-b929-4760db78c679/4b6e0b9a-6db9-4973-887c-b551e85c33de</v>
      </c>
      <c r="Z310" s="11">
        <v>-750432.155348</v>
      </c>
      <c r="AA310" s="11">
        <v>-1001792.9998859999</v>
      </c>
      <c r="AB310" s="11" t="str">
        <f>HYPERLINK("https://www.mapy.cz?st=search&amp;fr=50.44511572 14.23582603")</f>
        <v>https://www.mapy.cz?st=search&amp;fr=50.44511572 14.23582603</v>
      </c>
      <c r="AC310" s="6">
        <f t="shared" si="69"/>
        <v>264</v>
      </c>
      <c r="AD310" s="6" t="s">
        <v>878</v>
      </c>
      <c r="AE310" s="37"/>
    </row>
    <row r="311" spans="1:31" ht="35.1" customHeight="1" x14ac:dyDescent="0.2">
      <c r="A311" s="26" t="s">
        <v>354</v>
      </c>
      <c r="B311" s="12">
        <v>11081</v>
      </c>
      <c r="C311" s="13" t="s">
        <v>797</v>
      </c>
      <c r="D311" s="14" t="s">
        <v>28</v>
      </c>
      <c r="E311" s="11" t="s">
        <v>29</v>
      </c>
      <c r="F311" s="12" t="s">
        <v>669</v>
      </c>
      <c r="G311" s="12"/>
      <c r="H311" s="12"/>
      <c r="I311" s="12"/>
      <c r="J311" s="12" t="s">
        <v>161</v>
      </c>
      <c r="K311" s="12" t="s">
        <v>99</v>
      </c>
      <c r="L311" s="12" t="s">
        <v>94</v>
      </c>
      <c r="M311" s="12" t="s">
        <v>95</v>
      </c>
      <c r="N311" s="12" t="s">
        <v>105</v>
      </c>
      <c r="O311" s="12" t="s">
        <v>36</v>
      </c>
      <c r="P311" s="12" t="s">
        <v>37</v>
      </c>
      <c r="Q311" s="12" t="s">
        <v>37</v>
      </c>
      <c r="R311" s="11" t="s">
        <v>504</v>
      </c>
      <c r="S311" s="11" t="s">
        <v>355</v>
      </c>
      <c r="T311" s="11" t="s">
        <v>357</v>
      </c>
      <c r="U311" s="11" t="s">
        <v>382</v>
      </c>
      <c r="V311" s="12"/>
      <c r="W311" s="12" t="s">
        <v>46</v>
      </c>
      <c r="X311" s="12"/>
      <c r="Y311" s="11" t="str">
        <f>HYPERLINK("https://www.stromypodkontrolou.cz/map/tree/d41bce85-5010-4276-b929-4760db78c679/a8feb91d-ea18-4643-ac3d-82879753bba3")</f>
        <v>https://www.stromypodkontrolou.cz/map/tree/d41bce85-5010-4276-b929-4760db78c679/a8feb91d-ea18-4643-ac3d-82879753bba3</v>
      </c>
      <c r="Z311" s="11">
        <v>-750108.61974700005</v>
      </c>
      <c r="AA311" s="11">
        <v>-1000561.4899320001</v>
      </c>
      <c r="AB311" s="11" t="str">
        <f>HYPERLINK("https://www.mapy.cz?st=search&amp;fr=50.45648395 14.23793156")</f>
        <v>https://www.mapy.cz?st=search&amp;fr=50.45648395 14.23793156</v>
      </c>
      <c r="AC311" s="6">
        <f t="shared" ref="AC311:AC313" si="70">(J311-K311)*L311</f>
        <v>234</v>
      </c>
      <c r="AD311" s="6" t="s">
        <v>870</v>
      </c>
      <c r="AE311" s="37"/>
    </row>
    <row r="312" spans="1:31" ht="35.1" customHeight="1" x14ac:dyDescent="0.2">
      <c r="A312" s="26" t="s">
        <v>354</v>
      </c>
      <c r="B312" s="12">
        <v>11084</v>
      </c>
      <c r="C312" s="13" t="s">
        <v>798</v>
      </c>
      <c r="D312" s="14" t="s">
        <v>28</v>
      </c>
      <c r="E312" s="11" t="s">
        <v>29</v>
      </c>
      <c r="F312" s="12" t="s">
        <v>510</v>
      </c>
      <c r="G312" s="12"/>
      <c r="H312" s="12"/>
      <c r="I312" s="12"/>
      <c r="J312" s="12" t="s">
        <v>154</v>
      </c>
      <c r="K312" s="12" t="s">
        <v>99</v>
      </c>
      <c r="L312" s="12" t="s">
        <v>94</v>
      </c>
      <c r="M312" s="12" t="s">
        <v>95</v>
      </c>
      <c r="N312" s="12" t="s">
        <v>105</v>
      </c>
      <c r="O312" s="12" t="s">
        <v>46</v>
      </c>
      <c r="P312" s="12" t="s">
        <v>37</v>
      </c>
      <c r="Q312" s="12" t="s">
        <v>37</v>
      </c>
      <c r="R312" s="11" t="s">
        <v>799</v>
      </c>
      <c r="S312" s="11" t="s">
        <v>355</v>
      </c>
      <c r="T312" s="11" t="s">
        <v>357</v>
      </c>
      <c r="U312" s="11" t="s">
        <v>382</v>
      </c>
      <c r="V312" s="12"/>
      <c r="W312" s="12" t="s">
        <v>46</v>
      </c>
      <c r="X312" s="12"/>
      <c r="Y312" s="11" t="str">
        <f>HYPERLINK("https://www.stromypodkontrolou.cz/map/tree/d41bce85-5010-4276-b929-4760db78c679/fac2627a-b15b-461b-9eff-2dbe50b2b4df")</f>
        <v>https://www.stromypodkontrolou.cz/map/tree/d41bce85-5010-4276-b929-4760db78c679/fac2627a-b15b-461b-9eff-2dbe50b2b4df</v>
      </c>
      <c r="Z312" s="11">
        <v>-750108.48100499995</v>
      </c>
      <c r="AA312" s="11">
        <v>-1000551.919429</v>
      </c>
      <c r="AB312" s="11" t="str">
        <f>HYPERLINK("https://www.mapy.cz?st=search&amp;fr=50.45656933 14.23791480")</f>
        <v>https://www.mapy.cz?st=search&amp;fr=50.45656933 14.23791480</v>
      </c>
      <c r="AC312" s="6">
        <f t="shared" si="70"/>
        <v>221</v>
      </c>
      <c r="AD312" s="6" t="s">
        <v>870</v>
      </c>
      <c r="AE312" s="37"/>
    </row>
    <row r="313" spans="1:31" ht="34.5" customHeight="1" x14ac:dyDescent="0.2">
      <c r="A313" s="26" t="s">
        <v>354</v>
      </c>
      <c r="B313" s="12">
        <v>11092</v>
      </c>
      <c r="C313" s="13" t="s">
        <v>800</v>
      </c>
      <c r="D313" s="14" t="s">
        <v>28</v>
      </c>
      <c r="E313" s="11" t="s">
        <v>29</v>
      </c>
      <c r="F313" s="12" t="s">
        <v>151</v>
      </c>
      <c r="G313" s="12" t="s">
        <v>131</v>
      </c>
      <c r="H313" s="12" t="s">
        <v>193</v>
      </c>
      <c r="I313" s="12"/>
      <c r="J313" s="12" t="s">
        <v>102</v>
      </c>
      <c r="K313" s="12" t="s">
        <v>76</v>
      </c>
      <c r="L313" s="12" t="s">
        <v>136</v>
      </c>
      <c r="M313" s="12" t="s">
        <v>34</v>
      </c>
      <c r="N313" s="12" t="s">
        <v>105</v>
      </c>
      <c r="O313" s="12" t="s">
        <v>36</v>
      </c>
      <c r="P313" s="12" t="s">
        <v>37</v>
      </c>
      <c r="Q313" s="12" t="s">
        <v>37</v>
      </c>
      <c r="R313" s="11" t="s">
        <v>200</v>
      </c>
      <c r="S313" s="11" t="s">
        <v>355</v>
      </c>
      <c r="T313" s="11" t="s">
        <v>357</v>
      </c>
      <c r="U313" s="11" t="s">
        <v>384</v>
      </c>
      <c r="V313" s="12"/>
      <c r="W313" s="12" t="s">
        <v>46</v>
      </c>
      <c r="X313" s="12" t="s">
        <v>388</v>
      </c>
      <c r="Y313" s="11" t="str">
        <f>HYPERLINK("https://www.stromypodkontrolou.cz/map/tree/d41bce85-5010-4276-b929-4760db78c679/73b82382-f0a5-460b-b297-bb85862defb3")</f>
        <v>https://www.stromypodkontrolou.cz/map/tree/d41bce85-5010-4276-b929-4760db78c679/73b82382-f0a5-460b-b297-bb85862defb3</v>
      </c>
      <c r="Z313" s="11">
        <v>-750122.64530700003</v>
      </c>
      <c r="AA313" s="11">
        <v>-1000415.533791</v>
      </c>
      <c r="AB313" s="11" t="str">
        <f>HYPERLINK("https://www.mapy.cz?st=search&amp;fr=50.45776596 14.23745077")</f>
        <v>https://www.mapy.cz?st=search&amp;fr=50.45776596 14.23745077</v>
      </c>
      <c r="AC313" s="6">
        <f t="shared" si="70"/>
        <v>196</v>
      </c>
      <c r="AD313" s="6" t="s">
        <v>865</v>
      </c>
      <c r="AE313" s="37"/>
    </row>
    <row r="314" spans="1:31" ht="36" customHeight="1" x14ac:dyDescent="0.2">
      <c r="A314" s="26" t="s">
        <v>354</v>
      </c>
      <c r="B314" s="12">
        <v>11102</v>
      </c>
      <c r="C314" s="13" t="s">
        <v>804</v>
      </c>
      <c r="D314" s="14" t="s">
        <v>62</v>
      </c>
      <c r="E314" s="11" t="s">
        <v>63</v>
      </c>
      <c r="F314" s="12" t="s">
        <v>53</v>
      </c>
      <c r="G314" s="12" t="s">
        <v>167</v>
      </c>
      <c r="H314" s="12"/>
      <c r="I314" s="12"/>
      <c r="J314" s="12" t="s">
        <v>99</v>
      </c>
      <c r="K314" s="12" t="s">
        <v>103</v>
      </c>
      <c r="L314" s="12" t="s">
        <v>50</v>
      </c>
      <c r="M314" s="12" t="s">
        <v>95</v>
      </c>
      <c r="N314" s="12" t="s">
        <v>45</v>
      </c>
      <c r="O314" s="12" t="s">
        <v>34</v>
      </c>
      <c r="P314" s="12" t="s">
        <v>34</v>
      </c>
      <c r="Q314" s="12" t="s">
        <v>95</v>
      </c>
      <c r="R314" s="11" t="s">
        <v>805</v>
      </c>
      <c r="S314" s="11" t="s">
        <v>355</v>
      </c>
      <c r="T314" s="11" t="s">
        <v>357</v>
      </c>
      <c r="U314" s="11" t="s">
        <v>382</v>
      </c>
      <c r="V314" s="12"/>
      <c r="W314" s="12" t="s">
        <v>46</v>
      </c>
      <c r="X314" s="12"/>
      <c r="Y314" s="11" t="str">
        <f>HYPERLINK("https://www.stromypodkontrolou.cz/map/tree/d41bce85-5010-4276-b929-4760db78c679/46f85e1a-de37-4a53-8d51-93306b635f87")</f>
        <v>https://www.stromypodkontrolou.cz/map/tree/d41bce85-5010-4276-b929-4760db78c679/46f85e1a-de37-4a53-8d51-93306b635f87</v>
      </c>
      <c r="Z314" s="11">
        <v>-750148.25230199995</v>
      </c>
      <c r="AA314" s="11">
        <v>-1000202.295238</v>
      </c>
      <c r="AB314" s="11" t="str">
        <f>HYPERLINK("https://www.mapy.cz?st=search&amp;fr=50.45963257 14.23667696")</f>
        <v>https://www.mapy.cz?st=search&amp;fr=50.45963257 14.23667696</v>
      </c>
      <c r="AC314" s="6">
        <f>(J314-K314)*L314</f>
        <v>49</v>
      </c>
      <c r="AD314" s="6" t="s">
        <v>870</v>
      </c>
      <c r="AE314" s="37"/>
    </row>
    <row r="315" spans="1:31" ht="34.5" customHeight="1" x14ac:dyDescent="0.2">
      <c r="A315" s="26" t="s">
        <v>354</v>
      </c>
      <c r="B315" s="12">
        <v>11106</v>
      </c>
      <c r="C315" s="13" t="s">
        <v>808</v>
      </c>
      <c r="D315" s="14" t="s">
        <v>28</v>
      </c>
      <c r="E315" s="11" t="s">
        <v>29</v>
      </c>
      <c r="F315" s="12" t="s">
        <v>679</v>
      </c>
      <c r="G315" s="12"/>
      <c r="H315" s="12"/>
      <c r="I315" s="12"/>
      <c r="J315" s="12" t="s">
        <v>154</v>
      </c>
      <c r="K315" s="12" t="s">
        <v>76</v>
      </c>
      <c r="L315" s="12" t="s">
        <v>94</v>
      </c>
      <c r="M315" s="12" t="s">
        <v>95</v>
      </c>
      <c r="N315" s="12" t="s">
        <v>45</v>
      </c>
      <c r="O315" s="12" t="s">
        <v>46</v>
      </c>
      <c r="P315" s="12" t="s">
        <v>37</v>
      </c>
      <c r="Q315" s="12" t="s">
        <v>34</v>
      </c>
      <c r="R315" s="11" t="s">
        <v>158</v>
      </c>
      <c r="S315" s="11" t="s">
        <v>355</v>
      </c>
      <c r="T315" s="11" t="s">
        <v>359</v>
      </c>
      <c r="U315" s="11" t="s">
        <v>384</v>
      </c>
      <c r="V315" s="12"/>
      <c r="W315" s="12" t="s">
        <v>46</v>
      </c>
      <c r="X315" s="12" t="s">
        <v>403</v>
      </c>
      <c r="Y315" s="11" t="str">
        <f>HYPERLINK("https://www.stromypodkontrolou.cz/map/tree/d41bce85-5010-4276-b929-4760db78c679/f2c6c850-d519-41bc-81d3-588d6ad5a84f")</f>
        <v>https://www.stromypodkontrolou.cz/map/tree/d41bce85-5010-4276-b929-4760db78c679/f2c6c850-d519-41bc-81d3-588d6ad5a84f</v>
      </c>
      <c r="Z315" s="11">
        <v>-750139.05869400001</v>
      </c>
      <c r="AA315" s="11">
        <v>-1000145.256502</v>
      </c>
      <c r="AB315" s="11" t="str">
        <f>HYPERLINK("https://www.mapy.cz?st=search&amp;fr=50.46015187 14.23669372")</f>
        <v>https://www.mapy.cz?st=search&amp;fr=50.46015187 14.23669372</v>
      </c>
      <c r="AC315" s="6">
        <f>(J315-K315)*L315</f>
        <v>273</v>
      </c>
      <c r="AD315" s="6" t="s">
        <v>879</v>
      </c>
      <c r="AE315" s="37"/>
    </row>
    <row r="316" spans="1:31" ht="31.5" customHeight="1" x14ac:dyDescent="0.2">
      <c r="A316" s="26" t="s">
        <v>354</v>
      </c>
      <c r="B316" s="12">
        <v>11185</v>
      </c>
      <c r="C316" s="13" t="s">
        <v>814</v>
      </c>
      <c r="D316" s="14" t="s">
        <v>28</v>
      </c>
      <c r="E316" s="11" t="s">
        <v>29</v>
      </c>
      <c r="F316" s="12" t="s">
        <v>130</v>
      </c>
      <c r="G316" s="12" t="s">
        <v>167</v>
      </c>
      <c r="H316" s="12" t="s">
        <v>81</v>
      </c>
      <c r="I316" s="12" t="s">
        <v>123</v>
      </c>
      <c r="J316" s="12" t="s">
        <v>31</v>
      </c>
      <c r="K316" s="12" t="s">
        <v>76</v>
      </c>
      <c r="L316" s="12" t="s">
        <v>48</v>
      </c>
      <c r="M316" s="12" t="s">
        <v>34</v>
      </c>
      <c r="N316" s="12" t="s">
        <v>45</v>
      </c>
      <c r="O316" s="12" t="s">
        <v>36</v>
      </c>
      <c r="P316" s="12" t="s">
        <v>37</v>
      </c>
      <c r="Q316" s="12" t="s">
        <v>37</v>
      </c>
      <c r="R316" s="11"/>
      <c r="S316" s="11" t="s">
        <v>355</v>
      </c>
      <c r="T316" s="11" t="s">
        <v>357</v>
      </c>
      <c r="U316" s="11" t="s">
        <v>380</v>
      </c>
      <c r="V316" s="12"/>
      <c r="W316" s="12" t="s">
        <v>46</v>
      </c>
      <c r="X316" s="12" t="s">
        <v>815</v>
      </c>
      <c r="Y316" s="11" t="str">
        <f>HYPERLINK("https://www.stromypodkontrolou.cz/map/tree/d41bce85-5010-4276-b929-4760db78c679/d2700580-1a62-4ad3-a660-0cf975d3c010")</f>
        <v>https://www.stromypodkontrolou.cz/map/tree/d41bce85-5010-4276-b929-4760db78c679/d2700580-1a62-4ad3-a660-0cf975d3c010</v>
      </c>
      <c r="Z316" s="11">
        <v>-750244.47166100005</v>
      </c>
      <c r="AA316" s="11">
        <v>-1000854.547147</v>
      </c>
      <c r="AB316" s="11" t="str">
        <f>HYPERLINK("https://www.mapy.cz?st=search&amp;fr=50.45370528 14.23660957")</f>
        <v>https://www.mapy.cz?st=search&amp;fr=50.45370528 14.23660957</v>
      </c>
      <c r="AC316" s="6">
        <f>(J316-K316)*L316</f>
        <v>190</v>
      </c>
      <c r="AD316" s="6" t="s">
        <v>869</v>
      </c>
      <c r="AE316" s="37"/>
    </row>
    <row r="317" spans="1:31" ht="35.1" customHeight="1" x14ac:dyDescent="0.2">
      <c r="A317" s="47" t="s">
        <v>360</v>
      </c>
      <c r="B317" s="46">
        <v>10869</v>
      </c>
      <c r="C317" s="48" t="s">
        <v>818</v>
      </c>
      <c r="D317" s="49" t="s">
        <v>28</v>
      </c>
      <c r="E317" s="45" t="s">
        <v>29</v>
      </c>
      <c r="F317" s="46" t="s">
        <v>190</v>
      </c>
      <c r="G317" s="46"/>
      <c r="H317" s="46"/>
      <c r="I317" s="46"/>
      <c r="J317" s="46" t="s">
        <v>161</v>
      </c>
      <c r="K317" s="46" t="s">
        <v>32</v>
      </c>
      <c r="L317" s="46" t="s">
        <v>48</v>
      </c>
      <c r="M317" s="46" t="s">
        <v>34</v>
      </c>
      <c r="N317" s="46" t="s">
        <v>45</v>
      </c>
      <c r="O317" s="46" t="s">
        <v>46</v>
      </c>
      <c r="P317" s="46" t="s">
        <v>36</v>
      </c>
      <c r="Q317" s="46" t="s">
        <v>37</v>
      </c>
      <c r="R317" s="45" t="s">
        <v>443</v>
      </c>
      <c r="S317" s="45" t="s">
        <v>361</v>
      </c>
      <c r="T317" s="45" t="s">
        <v>362</v>
      </c>
      <c r="U317" s="11" t="s">
        <v>382</v>
      </c>
      <c r="V317" s="12" t="s">
        <v>95</v>
      </c>
      <c r="W317" s="12" t="s">
        <v>46</v>
      </c>
      <c r="X317" s="12"/>
      <c r="Y317" s="45" t="str">
        <f>HYPERLINK("https://www.stromypodkontrolou.cz/map/tree/d41bce85-5010-4276-b929-4760db78c679/80fcbb9f-946e-4400-a9f4-270758797af2")</f>
        <v>https://www.stromypodkontrolou.cz/map/tree/d41bce85-5010-4276-b929-4760db78c679/80fcbb9f-946e-4400-a9f4-270758797af2</v>
      </c>
      <c r="Z317" s="45">
        <v>-749870.36288000003</v>
      </c>
      <c r="AA317" s="45">
        <v>-1003099.977209</v>
      </c>
      <c r="AB317" s="45" t="str">
        <f>HYPERLINK("https://www.mapy.cz?st=search&amp;fr=50.43417956 14.24621020")</f>
        <v>https://www.mapy.cz?st=search&amp;fr=50.43417956 14.24621020</v>
      </c>
      <c r="AC317" s="6">
        <f t="shared" ref="AC317:AC331" si="71">(J317-K317)*L317</f>
        <v>240</v>
      </c>
      <c r="AD317" s="6" t="s">
        <v>870</v>
      </c>
      <c r="AE317" s="37"/>
    </row>
    <row r="318" spans="1:31" ht="35.1" customHeight="1" x14ac:dyDescent="0.2">
      <c r="A318" s="47"/>
      <c r="B318" s="46"/>
      <c r="C318" s="48"/>
      <c r="D318" s="49"/>
      <c r="E318" s="45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5"/>
      <c r="S318" s="45"/>
      <c r="T318" s="45"/>
      <c r="U318" s="11" t="s">
        <v>380</v>
      </c>
      <c r="V318" s="12" t="s">
        <v>95</v>
      </c>
      <c r="W318" s="12" t="s">
        <v>46</v>
      </c>
      <c r="X318" s="12" t="s">
        <v>407</v>
      </c>
      <c r="Y318" s="45"/>
      <c r="Z318" s="45"/>
      <c r="AA318" s="45"/>
      <c r="AB318" s="45"/>
      <c r="AC318" s="6">
        <f t="shared" si="71"/>
        <v>0</v>
      </c>
      <c r="AD318" s="6" t="s">
        <v>871</v>
      </c>
      <c r="AE318" s="37"/>
    </row>
    <row r="319" spans="1:31" ht="35.1" customHeight="1" x14ac:dyDescent="0.2">
      <c r="A319" s="47" t="s">
        <v>360</v>
      </c>
      <c r="B319" s="46">
        <v>10870</v>
      </c>
      <c r="C319" s="48" t="s">
        <v>819</v>
      </c>
      <c r="D319" s="49" t="s">
        <v>28</v>
      </c>
      <c r="E319" s="45" t="s">
        <v>29</v>
      </c>
      <c r="F319" s="46" t="s">
        <v>238</v>
      </c>
      <c r="G319" s="46"/>
      <c r="H319" s="46"/>
      <c r="I319" s="46"/>
      <c r="J319" s="46" t="s">
        <v>161</v>
      </c>
      <c r="K319" s="46" t="s">
        <v>113</v>
      </c>
      <c r="L319" s="46" t="s">
        <v>49</v>
      </c>
      <c r="M319" s="46" t="s">
        <v>34</v>
      </c>
      <c r="N319" s="46" t="s">
        <v>105</v>
      </c>
      <c r="O319" s="46" t="s">
        <v>36</v>
      </c>
      <c r="P319" s="46" t="s">
        <v>36</v>
      </c>
      <c r="Q319" s="46" t="s">
        <v>36</v>
      </c>
      <c r="R319" s="45"/>
      <c r="S319" s="45" t="s">
        <v>361</v>
      </c>
      <c r="T319" s="45" t="s">
        <v>362</v>
      </c>
      <c r="U319" s="11" t="s">
        <v>382</v>
      </c>
      <c r="V319" s="12" t="s">
        <v>95</v>
      </c>
      <c r="W319" s="12" t="s">
        <v>46</v>
      </c>
      <c r="X319" s="12"/>
      <c r="Y319" s="45" t="str">
        <f>HYPERLINK("https://www.stromypodkontrolou.cz/map/tree/d41bce85-5010-4276-b929-4760db78c679/f349b81f-5907-48c5-96b7-7a8fac5a7d92")</f>
        <v>https://www.stromypodkontrolou.cz/map/tree/d41bce85-5010-4276-b929-4760db78c679/f349b81f-5907-48c5-96b7-7a8fac5a7d92</v>
      </c>
      <c r="Z319" s="45">
        <v>-749873.28933399997</v>
      </c>
      <c r="AA319" s="45">
        <v>-1003095.969711</v>
      </c>
      <c r="AB319" s="45" t="str">
        <f>HYPERLINK("https://www.mapy.cz?st=search&amp;fr=50.43421160 14.24616158")</f>
        <v>https://www.mapy.cz?st=search&amp;fr=50.43421160 14.24616158</v>
      </c>
      <c r="AC319" s="6">
        <f t="shared" si="71"/>
        <v>207</v>
      </c>
      <c r="AD319" s="6" t="s">
        <v>870</v>
      </c>
      <c r="AE319" s="37"/>
    </row>
    <row r="320" spans="1:31" ht="35.1" customHeight="1" x14ac:dyDescent="0.2">
      <c r="A320" s="47"/>
      <c r="B320" s="46"/>
      <c r="C320" s="48"/>
      <c r="D320" s="49"/>
      <c r="E320" s="45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5"/>
      <c r="S320" s="45"/>
      <c r="T320" s="45"/>
      <c r="U320" s="11" t="s">
        <v>380</v>
      </c>
      <c r="V320" s="12" t="s">
        <v>95</v>
      </c>
      <c r="W320" s="12" t="s">
        <v>46</v>
      </c>
      <c r="X320" s="12" t="s">
        <v>439</v>
      </c>
      <c r="Y320" s="45"/>
      <c r="Z320" s="45"/>
      <c r="AA320" s="45"/>
      <c r="AB320" s="45"/>
      <c r="AC320" s="6">
        <f t="shared" si="71"/>
        <v>0</v>
      </c>
      <c r="AD320" s="6" t="s">
        <v>869</v>
      </c>
      <c r="AE320" s="37"/>
    </row>
    <row r="321" spans="1:31" ht="35.1" customHeight="1" x14ac:dyDescent="0.2">
      <c r="A321" s="47" t="s">
        <v>360</v>
      </c>
      <c r="B321" s="46">
        <v>10871</v>
      </c>
      <c r="C321" s="48" t="s">
        <v>820</v>
      </c>
      <c r="D321" s="49" t="s">
        <v>28</v>
      </c>
      <c r="E321" s="45" t="s">
        <v>29</v>
      </c>
      <c r="F321" s="46" t="s">
        <v>160</v>
      </c>
      <c r="G321" s="46"/>
      <c r="H321" s="46"/>
      <c r="I321" s="46"/>
      <c r="J321" s="46" t="s">
        <v>161</v>
      </c>
      <c r="K321" s="46" t="s">
        <v>113</v>
      </c>
      <c r="L321" s="46" t="s">
        <v>48</v>
      </c>
      <c r="M321" s="46" t="s">
        <v>34</v>
      </c>
      <c r="N321" s="46" t="s">
        <v>105</v>
      </c>
      <c r="O321" s="46" t="s">
        <v>36</v>
      </c>
      <c r="P321" s="46" t="s">
        <v>36</v>
      </c>
      <c r="Q321" s="46" t="s">
        <v>36</v>
      </c>
      <c r="R321" s="45" t="s">
        <v>511</v>
      </c>
      <c r="S321" s="45" t="s">
        <v>361</v>
      </c>
      <c r="T321" s="45" t="s">
        <v>362</v>
      </c>
      <c r="U321" s="11" t="s">
        <v>380</v>
      </c>
      <c r="V321" s="12" t="s">
        <v>95</v>
      </c>
      <c r="W321" s="12" t="s">
        <v>46</v>
      </c>
      <c r="X321" s="12" t="s">
        <v>439</v>
      </c>
      <c r="Y321" s="45" t="str">
        <f>HYPERLINK("https://www.stromypodkontrolou.cz/map/tree/d41bce85-5010-4276-b929-4760db78c679/ca07fea0-2dd5-4302-84fe-4690a7fadfae")</f>
        <v>https://www.stromypodkontrolou.cz/map/tree/d41bce85-5010-4276-b929-4760db78c679/ca07fea0-2dd5-4302-84fe-4690a7fadfae</v>
      </c>
      <c r="Z321" s="45">
        <v>-749880.47006800002</v>
      </c>
      <c r="AA321" s="45">
        <v>-1003091.942342</v>
      </c>
      <c r="AB321" s="45" t="str">
        <f>HYPERLINK("https://www.mapy.cz?st=search&amp;fr=50.43423850 14.24605362")</f>
        <v>https://www.mapy.cz?st=search&amp;fr=50.43423850 14.24605362</v>
      </c>
      <c r="AC321" s="6">
        <f t="shared" si="71"/>
        <v>230</v>
      </c>
      <c r="AD321" s="6" t="s">
        <v>871</v>
      </c>
      <c r="AE321" s="37"/>
    </row>
    <row r="322" spans="1:31" ht="35.1" customHeight="1" x14ac:dyDescent="0.2">
      <c r="A322" s="47"/>
      <c r="B322" s="46"/>
      <c r="C322" s="48"/>
      <c r="D322" s="49"/>
      <c r="E322" s="45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5"/>
      <c r="S322" s="45"/>
      <c r="T322" s="45"/>
      <c r="U322" s="11" t="s">
        <v>382</v>
      </c>
      <c r="V322" s="12" t="s">
        <v>95</v>
      </c>
      <c r="W322" s="12" t="s">
        <v>46</v>
      </c>
      <c r="X322" s="12"/>
      <c r="Y322" s="45"/>
      <c r="Z322" s="45"/>
      <c r="AA322" s="45"/>
      <c r="AB322" s="45"/>
      <c r="AC322" s="6">
        <f t="shared" si="71"/>
        <v>0</v>
      </c>
      <c r="AD322" s="6" t="s">
        <v>870</v>
      </c>
      <c r="AE322" s="37"/>
    </row>
    <row r="323" spans="1:31" ht="35.1" customHeight="1" x14ac:dyDescent="0.2">
      <c r="A323" s="47" t="s">
        <v>360</v>
      </c>
      <c r="B323" s="46">
        <v>10872</v>
      </c>
      <c r="C323" s="48" t="s">
        <v>821</v>
      </c>
      <c r="D323" s="49" t="s">
        <v>28</v>
      </c>
      <c r="E323" s="45" t="s">
        <v>29</v>
      </c>
      <c r="F323" s="46" t="s">
        <v>227</v>
      </c>
      <c r="G323" s="46"/>
      <c r="H323" s="46"/>
      <c r="I323" s="46"/>
      <c r="J323" s="46" t="s">
        <v>161</v>
      </c>
      <c r="K323" s="46" t="s">
        <v>76</v>
      </c>
      <c r="L323" s="46" t="s">
        <v>48</v>
      </c>
      <c r="M323" s="46" t="s">
        <v>34</v>
      </c>
      <c r="N323" s="46" t="s">
        <v>105</v>
      </c>
      <c r="O323" s="46" t="s">
        <v>36</v>
      </c>
      <c r="P323" s="46" t="s">
        <v>36</v>
      </c>
      <c r="Q323" s="46" t="s">
        <v>36</v>
      </c>
      <c r="R323" s="45" t="s">
        <v>243</v>
      </c>
      <c r="S323" s="45" t="s">
        <v>361</v>
      </c>
      <c r="T323" s="45" t="s">
        <v>362</v>
      </c>
      <c r="U323" s="11" t="s">
        <v>382</v>
      </c>
      <c r="V323" s="12" t="s">
        <v>95</v>
      </c>
      <c r="W323" s="12" t="s">
        <v>46</v>
      </c>
      <c r="X323" s="12"/>
      <c r="Y323" s="45" t="str">
        <f>HYPERLINK("https://www.stromypodkontrolou.cz/map/tree/d41bce85-5010-4276-b929-4760db78c679/a85942b2-768c-484a-a917-1bbac2f9f3cc")</f>
        <v>https://www.stromypodkontrolou.cz/map/tree/d41bce85-5010-4276-b929-4760db78c679/a85942b2-768c-484a-a917-1bbac2f9f3cc</v>
      </c>
      <c r="Z323" s="45">
        <v>-749882.033391</v>
      </c>
      <c r="AA323" s="45">
        <v>-1003089.708709</v>
      </c>
      <c r="AB323" s="45" t="str">
        <f>HYPERLINK("https://www.mapy.cz?st=search&amp;fr=50.43425644 14.24602747")</f>
        <v>https://www.mapy.cz?st=search&amp;fr=50.43425644 14.24602747</v>
      </c>
      <c r="AC323" s="6">
        <f t="shared" si="71"/>
        <v>220</v>
      </c>
      <c r="AD323" s="6" t="s">
        <v>870</v>
      </c>
      <c r="AE323" s="37"/>
    </row>
    <row r="324" spans="1:31" ht="35.1" customHeight="1" x14ac:dyDescent="0.2">
      <c r="A324" s="47"/>
      <c r="B324" s="46"/>
      <c r="C324" s="48"/>
      <c r="D324" s="49"/>
      <c r="E324" s="45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5"/>
      <c r="S324" s="45"/>
      <c r="T324" s="45"/>
      <c r="U324" s="11" t="s">
        <v>380</v>
      </c>
      <c r="V324" s="12" t="s">
        <v>95</v>
      </c>
      <c r="W324" s="12" t="s">
        <v>46</v>
      </c>
      <c r="X324" s="12" t="s">
        <v>439</v>
      </c>
      <c r="Y324" s="45"/>
      <c r="Z324" s="45"/>
      <c r="AA324" s="45"/>
      <c r="AB324" s="45"/>
      <c r="AC324" s="6">
        <f t="shared" si="71"/>
        <v>0</v>
      </c>
      <c r="AD324" s="6" t="s">
        <v>871</v>
      </c>
      <c r="AE324" s="37"/>
    </row>
    <row r="325" spans="1:31" ht="35.1" customHeight="1" x14ac:dyDescent="0.2">
      <c r="A325" s="47" t="s">
        <v>360</v>
      </c>
      <c r="B325" s="46">
        <v>10874</v>
      </c>
      <c r="C325" s="48" t="s">
        <v>822</v>
      </c>
      <c r="D325" s="49" t="s">
        <v>28</v>
      </c>
      <c r="E325" s="45" t="s">
        <v>29</v>
      </c>
      <c r="F325" s="46" t="s">
        <v>125</v>
      </c>
      <c r="G325" s="46"/>
      <c r="H325" s="46"/>
      <c r="I325" s="46"/>
      <c r="J325" s="46" t="s">
        <v>154</v>
      </c>
      <c r="K325" s="46" t="s">
        <v>32</v>
      </c>
      <c r="L325" s="46" t="s">
        <v>48</v>
      </c>
      <c r="M325" s="46" t="s">
        <v>34</v>
      </c>
      <c r="N325" s="46" t="s">
        <v>45</v>
      </c>
      <c r="O325" s="46" t="s">
        <v>36</v>
      </c>
      <c r="P325" s="46" t="s">
        <v>37</v>
      </c>
      <c r="Q325" s="46" t="s">
        <v>37</v>
      </c>
      <c r="R325" s="45" t="s">
        <v>823</v>
      </c>
      <c r="S325" s="45" t="s">
        <v>361</v>
      </c>
      <c r="T325" s="45" t="s">
        <v>362</v>
      </c>
      <c r="U325" s="11" t="s">
        <v>380</v>
      </c>
      <c r="V325" s="12" t="s">
        <v>95</v>
      </c>
      <c r="W325" s="12" t="s">
        <v>46</v>
      </c>
      <c r="X325" s="12" t="s">
        <v>439</v>
      </c>
      <c r="Y325" s="45" t="str">
        <f>HYPERLINK("https://www.stromypodkontrolou.cz/map/tree/d41bce85-5010-4276-b929-4760db78c679/5ac08e09-f991-49bb-86a6-f4767b797adc")</f>
        <v>https://www.stromypodkontrolou.cz/map/tree/d41bce85-5010-4276-b929-4760db78c679/5ac08e09-f991-49bb-86a6-f4767b797adc</v>
      </c>
      <c r="Z325" s="45">
        <v>-749888.93083500001</v>
      </c>
      <c r="AA325" s="45">
        <v>-1003082.626841</v>
      </c>
      <c r="AB325" s="45" t="str">
        <f>HYPERLINK("https://www.mapy.cz?st=search&amp;fr=50.43431090 14.24591750")</f>
        <v>https://www.mapy.cz?st=search&amp;fr=50.43431090 14.24591750</v>
      </c>
      <c r="AC325" s="6">
        <f t="shared" si="71"/>
        <v>230</v>
      </c>
      <c r="AD325" s="6" t="s">
        <v>871</v>
      </c>
      <c r="AE325" s="37"/>
    </row>
    <row r="326" spans="1:31" ht="35.1" customHeight="1" x14ac:dyDescent="0.2">
      <c r="A326" s="47"/>
      <c r="B326" s="46"/>
      <c r="C326" s="48"/>
      <c r="D326" s="49"/>
      <c r="E326" s="45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5"/>
      <c r="S326" s="45"/>
      <c r="T326" s="45"/>
      <c r="U326" s="11" t="s">
        <v>382</v>
      </c>
      <c r="V326" s="12" t="s">
        <v>95</v>
      </c>
      <c r="W326" s="12" t="s">
        <v>46</v>
      </c>
      <c r="X326" s="12"/>
      <c r="Y326" s="45"/>
      <c r="Z326" s="45"/>
      <c r="AA326" s="45"/>
      <c r="AB326" s="45"/>
      <c r="AC326" s="6">
        <f t="shared" si="71"/>
        <v>0</v>
      </c>
      <c r="AD326" s="6" t="s">
        <v>870</v>
      </c>
      <c r="AE326" s="37"/>
    </row>
    <row r="327" spans="1:31" ht="35.1" customHeight="1" x14ac:dyDescent="0.2">
      <c r="A327" s="26" t="s">
        <v>360</v>
      </c>
      <c r="B327" s="12">
        <v>10876</v>
      </c>
      <c r="C327" s="13" t="s">
        <v>824</v>
      </c>
      <c r="D327" s="14" t="s">
        <v>28</v>
      </c>
      <c r="E327" s="11" t="s">
        <v>29</v>
      </c>
      <c r="F327" s="12" t="s">
        <v>160</v>
      </c>
      <c r="G327" s="12"/>
      <c r="H327" s="12"/>
      <c r="I327" s="12"/>
      <c r="J327" s="12" t="s">
        <v>161</v>
      </c>
      <c r="K327" s="12" t="s">
        <v>32</v>
      </c>
      <c r="L327" s="12" t="s">
        <v>49</v>
      </c>
      <c r="M327" s="12" t="s">
        <v>34</v>
      </c>
      <c r="N327" s="12" t="s">
        <v>45</v>
      </c>
      <c r="O327" s="12" t="s">
        <v>46</v>
      </c>
      <c r="P327" s="12" t="s">
        <v>37</v>
      </c>
      <c r="Q327" s="12" t="s">
        <v>37</v>
      </c>
      <c r="R327" s="11" t="s">
        <v>517</v>
      </c>
      <c r="S327" s="11" t="s">
        <v>361</v>
      </c>
      <c r="T327" s="11" t="s">
        <v>362</v>
      </c>
      <c r="U327" s="11" t="s">
        <v>384</v>
      </c>
      <c r="V327" s="12" t="s">
        <v>95</v>
      </c>
      <c r="W327" s="12" t="s">
        <v>46</v>
      </c>
      <c r="X327" s="12" t="s">
        <v>388</v>
      </c>
      <c r="Y327" s="11" t="str">
        <f>HYPERLINK("https://www.stromypodkontrolou.cz/map/tree/d41bce85-5010-4276-b929-4760db78c679/bbc8cb08-116d-4160-a0e1-c2809aa538ce")</f>
        <v>https://www.stromypodkontrolou.cz/map/tree/d41bce85-5010-4276-b929-4760db78c679/bbc8cb08-116d-4160-a0e1-c2809aa538ce</v>
      </c>
      <c r="Z327" s="11">
        <v>-749897.50207100005</v>
      </c>
      <c r="AA327" s="11">
        <v>-1003076.677838</v>
      </c>
      <c r="AB327" s="11" t="str">
        <f>HYPERLINK("https://www.mapy.cz?st=search&amp;fr=50.43435319 14.24578641")</f>
        <v>https://www.mapy.cz?st=search&amp;fr=50.43435319 14.24578641</v>
      </c>
      <c r="AC327" s="6">
        <f t="shared" si="71"/>
        <v>216</v>
      </c>
      <c r="AD327" s="6" t="s">
        <v>865</v>
      </c>
      <c r="AE327" s="37"/>
    </row>
    <row r="328" spans="1:31" ht="35.1" customHeight="1" x14ac:dyDescent="0.2">
      <c r="A328" s="47" t="s">
        <v>360</v>
      </c>
      <c r="B328" s="46">
        <v>10878</v>
      </c>
      <c r="C328" s="48" t="s">
        <v>825</v>
      </c>
      <c r="D328" s="49" t="s">
        <v>28</v>
      </c>
      <c r="E328" s="45" t="s">
        <v>29</v>
      </c>
      <c r="F328" s="46" t="s">
        <v>164</v>
      </c>
      <c r="G328" s="46"/>
      <c r="H328" s="46"/>
      <c r="I328" s="46"/>
      <c r="J328" s="46" t="s">
        <v>161</v>
      </c>
      <c r="K328" s="46" t="s">
        <v>32</v>
      </c>
      <c r="L328" s="46" t="s">
        <v>48</v>
      </c>
      <c r="M328" s="46" t="s">
        <v>34</v>
      </c>
      <c r="N328" s="46" t="s">
        <v>105</v>
      </c>
      <c r="O328" s="46" t="s">
        <v>36</v>
      </c>
      <c r="P328" s="46" t="s">
        <v>37</v>
      </c>
      <c r="Q328" s="46" t="s">
        <v>37</v>
      </c>
      <c r="R328" s="45" t="s">
        <v>200</v>
      </c>
      <c r="S328" s="45" t="s">
        <v>361</v>
      </c>
      <c r="T328" s="45" t="s">
        <v>362</v>
      </c>
      <c r="U328" s="11" t="s">
        <v>380</v>
      </c>
      <c r="V328" s="12" t="s">
        <v>95</v>
      </c>
      <c r="W328" s="12" t="s">
        <v>46</v>
      </c>
      <c r="X328" s="12" t="s">
        <v>439</v>
      </c>
      <c r="Y328" s="45" t="str">
        <f>HYPERLINK("https://www.stromypodkontrolou.cz/map/tree/d41bce85-5010-4276-b929-4760db78c679/2cd0746c-c462-4fa6-825d-c0798e2fc622")</f>
        <v>https://www.stromypodkontrolou.cz/map/tree/d41bce85-5010-4276-b929-4760db78c679/2cd0746c-c462-4fa6-825d-c0798e2fc622</v>
      </c>
      <c r="Z328" s="45">
        <v>-749905.83410600002</v>
      </c>
      <c r="AA328" s="45">
        <v>-1003070.738323</v>
      </c>
      <c r="AB328" s="45" t="str">
        <f>HYPERLINK("https://www.mapy.cz?st=search&amp;fr=50.43439568 14.24565867")</f>
        <v>https://www.mapy.cz?st=search&amp;fr=50.43439568 14.24565867</v>
      </c>
      <c r="AC328" s="6">
        <f t="shared" si="71"/>
        <v>240</v>
      </c>
      <c r="AD328" s="6" t="s">
        <v>871</v>
      </c>
      <c r="AE328" s="37"/>
    </row>
    <row r="329" spans="1:31" ht="35.1" customHeight="1" x14ac:dyDescent="0.2">
      <c r="A329" s="47"/>
      <c r="B329" s="46"/>
      <c r="C329" s="48"/>
      <c r="D329" s="49"/>
      <c r="E329" s="45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5"/>
      <c r="S329" s="45"/>
      <c r="T329" s="45"/>
      <c r="U329" s="11" t="s">
        <v>382</v>
      </c>
      <c r="V329" s="12" t="s">
        <v>95</v>
      </c>
      <c r="W329" s="12" t="s">
        <v>46</v>
      </c>
      <c r="X329" s="12"/>
      <c r="Y329" s="45"/>
      <c r="Z329" s="45"/>
      <c r="AA329" s="45"/>
      <c r="AB329" s="45"/>
      <c r="AC329" s="6">
        <f t="shared" si="71"/>
        <v>0</v>
      </c>
      <c r="AD329" s="6" t="s">
        <v>870</v>
      </c>
      <c r="AE329" s="37"/>
    </row>
    <row r="330" spans="1:31" ht="35.1" customHeight="1" x14ac:dyDescent="0.2">
      <c r="A330" s="47" t="s">
        <v>360</v>
      </c>
      <c r="B330" s="46">
        <v>10879</v>
      </c>
      <c r="C330" s="48" t="s">
        <v>826</v>
      </c>
      <c r="D330" s="49" t="s">
        <v>28</v>
      </c>
      <c r="E330" s="45" t="s">
        <v>29</v>
      </c>
      <c r="F330" s="46" t="s">
        <v>237</v>
      </c>
      <c r="G330" s="46"/>
      <c r="H330" s="46"/>
      <c r="I330" s="46"/>
      <c r="J330" s="46" t="s">
        <v>154</v>
      </c>
      <c r="K330" s="46" t="s">
        <v>76</v>
      </c>
      <c r="L330" s="46" t="s">
        <v>118</v>
      </c>
      <c r="M330" s="46" t="s">
        <v>34</v>
      </c>
      <c r="N330" s="46" t="s">
        <v>105</v>
      </c>
      <c r="O330" s="46" t="s">
        <v>36</v>
      </c>
      <c r="P330" s="46" t="s">
        <v>36</v>
      </c>
      <c r="Q330" s="46" t="s">
        <v>36</v>
      </c>
      <c r="R330" s="45"/>
      <c r="S330" s="45" t="s">
        <v>361</v>
      </c>
      <c r="T330" s="45" t="s">
        <v>362</v>
      </c>
      <c r="U330" s="11" t="s">
        <v>382</v>
      </c>
      <c r="V330" s="12" t="s">
        <v>95</v>
      </c>
      <c r="W330" s="12" t="s">
        <v>46</v>
      </c>
      <c r="X330" s="12"/>
      <c r="Y330" s="45" t="str">
        <f>HYPERLINK("https://www.stromypodkontrolou.cz/map/tree/d41bce85-5010-4276-b929-4760db78c679/3db98962-6f87-427f-b0a9-a93bc60f2e77")</f>
        <v>https://www.stromypodkontrolou.cz/map/tree/d41bce85-5010-4276-b929-4760db78c679/3db98962-6f87-427f-b0a9-a93bc60f2e77</v>
      </c>
      <c r="Z330" s="45">
        <v>-749910.33133199997</v>
      </c>
      <c r="AA330" s="45">
        <v>-1003062.145553</v>
      </c>
      <c r="AB330" s="45" t="str">
        <f>HYPERLINK("https://www.mapy.cz?st=search&amp;fr=50.43446658 14.24557921")</f>
        <v>https://www.mapy.cz?st=search&amp;fr=50.43446658 14.24557921</v>
      </c>
      <c r="AC330" s="6">
        <f t="shared" si="71"/>
        <v>315</v>
      </c>
      <c r="AD330" s="6" t="s">
        <v>875</v>
      </c>
      <c r="AE330" s="37"/>
    </row>
    <row r="331" spans="1:31" ht="35.1" customHeight="1" x14ac:dyDescent="0.2">
      <c r="A331" s="47"/>
      <c r="B331" s="46"/>
      <c r="C331" s="48"/>
      <c r="D331" s="49"/>
      <c r="E331" s="45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5"/>
      <c r="S331" s="45"/>
      <c r="T331" s="45"/>
      <c r="U331" s="11" t="s">
        <v>380</v>
      </c>
      <c r="V331" s="12" t="s">
        <v>95</v>
      </c>
      <c r="W331" s="12" t="s">
        <v>46</v>
      </c>
      <c r="X331" s="12" t="s">
        <v>439</v>
      </c>
      <c r="Y331" s="45"/>
      <c r="Z331" s="45"/>
      <c r="AA331" s="45"/>
      <c r="AB331" s="45"/>
      <c r="AC331" s="6">
        <f t="shared" si="71"/>
        <v>0</v>
      </c>
      <c r="AD331" s="6" t="s">
        <v>871</v>
      </c>
      <c r="AE331" s="37"/>
    </row>
    <row r="332" spans="1:31" ht="35.1" customHeight="1" x14ac:dyDescent="0.2">
      <c r="A332" s="26" t="s">
        <v>360</v>
      </c>
      <c r="B332" s="12">
        <v>10892</v>
      </c>
      <c r="C332" s="13" t="s">
        <v>827</v>
      </c>
      <c r="D332" s="14" t="s">
        <v>28</v>
      </c>
      <c r="E332" s="11" t="s">
        <v>29</v>
      </c>
      <c r="F332" s="12" t="s">
        <v>157</v>
      </c>
      <c r="G332" s="12"/>
      <c r="H332" s="12"/>
      <c r="I332" s="12"/>
      <c r="J332" s="12" t="s">
        <v>170</v>
      </c>
      <c r="K332" s="12" t="s">
        <v>51</v>
      </c>
      <c r="L332" s="12" t="s">
        <v>50</v>
      </c>
      <c r="M332" s="12" t="s">
        <v>34</v>
      </c>
      <c r="N332" s="12" t="s">
        <v>105</v>
      </c>
      <c r="O332" s="12" t="s">
        <v>46</v>
      </c>
      <c r="P332" s="12" t="s">
        <v>36</v>
      </c>
      <c r="Q332" s="12" t="s">
        <v>36</v>
      </c>
      <c r="R332" s="11" t="s">
        <v>200</v>
      </c>
      <c r="S332" s="11" t="s">
        <v>361</v>
      </c>
      <c r="T332" s="11" t="s">
        <v>362</v>
      </c>
      <c r="U332" s="11" t="s">
        <v>384</v>
      </c>
      <c r="V332" s="12" t="s">
        <v>95</v>
      </c>
      <c r="W332" s="12" t="s">
        <v>46</v>
      </c>
      <c r="X332" s="12" t="s">
        <v>388</v>
      </c>
      <c r="Y332" s="11" t="str">
        <f>HYPERLINK("https://www.stromypodkontrolou.cz/map/tree/d41bce85-5010-4276-b929-4760db78c679/47ae651d-e5b7-47e9-a4ba-70542440ef02")</f>
        <v>https://www.stromypodkontrolou.cz/map/tree/d41bce85-5010-4276-b929-4760db78c679/47ae651d-e5b7-47e9-a4ba-70542440ef02</v>
      </c>
      <c r="Z332" s="11">
        <v>-749977.864069</v>
      </c>
      <c r="AA332" s="11">
        <v>-1002996.157474</v>
      </c>
      <c r="AB332" s="11" t="str">
        <f>HYPERLINK("https://www.mapy.cz?st=search&amp;fr=50.43496994 14.24450901")</f>
        <v>https://www.mapy.cz?st=search&amp;fr=50.43496994 14.24450901</v>
      </c>
      <c r="AC332" s="6">
        <f>(J332-K332)*L332</f>
        <v>126</v>
      </c>
      <c r="AD332" s="6" t="s">
        <v>865</v>
      </c>
      <c r="AE332" s="37"/>
    </row>
    <row r="333" spans="1:31" ht="34.5" customHeight="1" x14ac:dyDescent="0.2">
      <c r="A333" s="26" t="s">
        <v>360</v>
      </c>
      <c r="B333" s="12">
        <v>10903</v>
      </c>
      <c r="C333" s="13" t="s">
        <v>828</v>
      </c>
      <c r="D333" s="14" t="s">
        <v>28</v>
      </c>
      <c r="E333" s="11" t="s">
        <v>29</v>
      </c>
      <c r="F333" s="12" t="s">
        <v>234</v>
      </c>
      <c r="G333" s="12"/>
      <c r="H333" s="12"/>
      <c r="I333" s="12"/>
      <c r="J333" s="12" t="s">
        <v>168</v>
      </c>
      <c r="K333" s="12" t="s">
        <v>32</v>
      </c>
      <c r="L333" s="12" t="s">
        <v>48</v>
      </c>
      <c r="M333" s="12" t="s">
        <v>34</v>
      </c>
      <c r="N333" s="12" t="s">
        <v>45</v>
      </c>
      <c r="O333" s="12" t="s">
        <v>46</v>
      </c>
      <c r="P333" s="12" t="s">
        <v>34</v>
      </c>
      <c r="Q333" s="12" t="s">
        <v>34</v>
      </c>
      <c r="R333" s="11" t="s">
        <v>199</v>
      </c>
      <c r="S333" s="11" t="s">
        <v>361</v>
      </c>
      <c r="T333" s="11" t="s">
        <v>362</v>
      </c>
      <c r="U333" s="11" t="s">
        <v>380</v>
      </c>
      <c r="V333" s="12" t="s">
        <v>95</v>
      </c>
      <c r="W333" s="12" t="s">
        <v>46</v>
      </c>
      <c r="X333" s="12" t="s">
        <v>439</v>
      </c>
      <c r="Y333" s="11" t="str">
        <f>HYPERLINK("https://www.stromypodkontrolou.cz/map/tree/d41bce85-5010-4276-b929-4760db78c679/28551c7c-ba27-47fc-aa1a-67650da99c84")</f>
        <v>https://www.stromypodkontrolou.cz/map/tree/d41bce85-5010-4276-b929-4760db78c679/28551c7c-ba27-47fc-aa1a-67650da99c84</v>
      </c>
      <c r="Z333" s="11">
        <v>-750009.60837999999</v>
      </c>
      <c r="AA333" s="11">
        <v>-1002963.842115</v>
      </c>
      <c r="AB333" s="11" t="str">
        <f>HYPERLINK("https://www.mapy.cz?st=search&amp;fr=50.43521809 14.24400341")</f>
        <v>https://www.mapy.cz?st=search&amp;fr=50.43521809 14.24400341</v>
      </c>
      <c r="AC333" s="6">
        <f>(J333-K333)*L333</f>
        <v>200</v>
      </c>
      <c r="AD333" s="6" t="s">
        <v>869</v>
      </c>
      <c r="AE333" s="37"/>
    </row>
    <row r="334" spans="1:31" ht="35.1" customHeight="1" x14ac:dyDescent="0.2">
      <c r="A334" s="26" t="s">
        <v>360</v>
      </c>
      <c r="B334" s="12">
        <v>10972</v>
      </c>
      <c r="C334" s="13" t="s">
        <v>829</v>
      </c>
      <c r="D334" s="14" t="s">
        <v>28</v>
      </c>
      <c r="E334" s="11" t="s">
        <v>29</v>
      </c>
      <c r="F334" s="12" t="s">
        <v>520</v>
      </c>
      <c r="G334" s="12"/>
      <c r="H334" s="12"/>
      <c r="I334" s="12"/>
      <c r="J334" s="12" t="s">
        <v>161</v>
      </c>
      <c r="K334" s="12" t="s">
        <v>144</v>
      </c>
      <c r="L334" s="12" t="s">
        <v>94</v>
      </c>
      <c r="M334" s="12" t="s">
        <v>34</v>
      </c>
      <c r="N334" s="12" t="s">
        <v>105</v>
      </c>
      <c r="O334" s="12" t="s">
        <v>46</v>
      </c>
      <c r="P334" s="12" t="s">
        <v>36</v>
      </c>
      <c r="Q334" s="12" t="s">
        <v>36</v>
      </c>
      <c r="R334" s="11" t="s">
        <v>200</v>
      </c>
      <c r="S334" s="11" t="s">
        <v>361</v>
      </c>
      <c r="T334" s="11" t="s">
        <v>362</v>
      </c>
      <c r="U334" s="11" t="s">
        <v>380</v>
      </c>
      <c r="V334" s="12" t="s">
        <v>95</v>
      </c>
      <c r="W334" s="12" t="s">
        <v>46</v>
      </c>
      <c r="X334" s="12" t="s">
        <v>430</v>
      </c>
      <c r="Y334" s="11" t="str">
        <f>HYPERLINK("https://www.stromypodkontrolou.cz/map/tree/d41bce85-5010-4276-b929-4760db78c679/fd9f5667-540a-4fa7-bd8a-b46a795be01a")</f>
        <v>https://www.stromypodkontrolou.cz/map/tree/d41bce85-5010-4276-b929-4760db78c679/fd9f5667-540a-4fa7-bd8a-b46a795be01a</v>
      </c>
      <c r="Z334" s="11">
        <v>-750108.96305000002</v>
      </c>
      <c r="AA334" s="11">
        <v>-1002818.372578</v>
      </c>
      <c r="AB334" s="11" t="str">
        <f>HYPERLINK("https://www.mapy.cz?st=search&amp;fr=50.43638942 14.24233441")</f>
        <v>https://www.mapy.cz?st=search&amp;fr=50.43638942 14.24233441</v>
      </c>
      <c r="AC334" s="6">
        <f>(J334-K334)*L334</f>
        <v>273</v>
      </c>
      <c r="AD334" s="6" t="s">
        <v>871</v>
      </c>
      <c r="AE334" s="37"/>
    </row>
    <row r="335" spans="1:31" ht="35.1" customHeight="1" x14ac:dyDescent="0.2">
      <c r="A335" s="26" t="s">
        <v>360</v>
      </c>
      <c r="B335" s="12">
        <v>10989</v>
      </c>
      <c r="C335" s="13" t="s">
        <v>830</v>
      </c>
      <c r="D335" s="14" t="s">
        <v>39</v>
      </c>
      <c r="E335" s="11" t="s">
        <v>40</v>
      </c>
      <c r="F335" s="12" t="s">
        <v>88</v>
      </c>
      <c r="G335" s="12" t="s">
        <v>87</v>
      </c>
      <c r="H335" s="12"/>
      <c r="I335" s="12"/>
      <c r="J335" s="12" t="s">
        <v>112</v>
      </c>
      <c r="K335" s="12" t="s">
        <v>103</v>
      </c>
      <c r="L335" s="12" t="s">
        <v>44</v>
      </c>
      <c r="M335" s="12" t="s">
        <v>37</v>
      </c>
      <c r="N335" s="12" t="s">
        <v>105</v>
      </c>
      <c r="O335" s="12" t="s">
        <v>46</v>
      </c>
      <c r="P335" s="12" t="s">
        <v>36</v>
      </c>
      <c r="Q335" s="12" t="s">
        <v>37</v>
      </c>
      <c r="R335" s="11" t="s">
        <v>171</v>
      </c>
      <c r="S335" s="11" t="s">
        <v>361</v>
      </c>
      <c r="T335" s="11" t="s">
        <v>362</v>
      </c>
      <c r="U335" s="11" t="s">
        <v>380</v>
      </c>
      <c r="V335" s="12" t="s">
        <v>95</v>
      </c>
      <c r="W335" s="12" t="s">
        <v>46</v>
      </c>
      <c r="X335" s="12" t="s">
        <v>379</v>
      </c>
      <c r="Y335" s="11" t="str">
        <f>HYPERLINK("https://www.stromypodkontrolou.cz/map/tree/d41bce85-5010-4276-b929-4760db78c679/46aa4b3b-713e-4147-9128-6fcb71f31ac6")</f>
        <v>https://www.stromypodkontrolou.cz/map/tree/d41bce85-5010-4276-b929-4760db78c679/46aa4b3b-713e-4147-9128-6fcb71f31ac6</v>
      </c>
      <c r="Z335" s="11">
        <v>-750138.67805900006</v>
      </c>
      <c r="AA335" s="11">
        <v>-1002648.791082</v>
      </c>
      <c r="AB335" s="11" t="str">
        <f>HYPERLINK("https://www.mapy.cz?st=search&amp;fr=50.43786224 14.24158909")</f>
        <v>https://www.mapy.cz?st=search&amp;fr=50.43786224 14.24158909</v>
      </c>
      <c r="AC335" s="6">
        <f t="shared" ref="AC335:AC336" si="72">(J335-K335)*L335</f>
        <v>60</v>
      </c>
      <c r="AD335" s="6" t="s">
        <v>869</v>
      </c>
      <c r="AE335" s="37"/>
    </row>
    <row r="336" spans="1:31" ht="35.1" customHeight="1" x14ac:dyDescent="0.2">
      <c r="A336" s="26" t="s">
        <v>360</v>
      </c>
      <c r="B336" s="12">
        <v>10990</v>
      </c>
      <c r="C336" s="13" t="s">
        <v>831</v>
      </c>
      <c r="D336" s="14" t="s">
        <v>39</v>
      </c>
      <c r="E336" s="11" t="s">
        <v>40</v>
      </c>
      <c r="F336" s="12" t="s">
        <v>131</v>
      </c>
      <c r="G336" s="12"/>
      <c r="H336" s="12"/>
      <c r="I336" s="12"/>
      <c r="J336" s="12" t="s">
        <v>90</v>
      </c>
      <c r="K336" s="12" t="s">
        <v>103</v>
      </c>
      <c r="L336" s="12" t="s">
        <v>50</v>
      </c>
      <c r="M336" s="12" t="s">
        <v>37</v>
      </c>
      <c r="N336" s="12" t="s">
        <v>105</v>
      </c>
      <c r="O336" s="12" t="s">
        <v>46</v>
      </c>
      <c r="P336" s="12" t="s">
        <v>36</v>
      </c>
      <c r="Q336" s="12" t="s">
        <v>36</v>
      </c>
      <c r="R336" s="11" t="s">
        <v>114</v>
      </c>
      <c r="S336" s="11" t="s">
        <v>361</v>
      </c>
      <c r="T336" s="11" t="s">
        <v>362</v>
      </c>
      <c r="U336" s="11" t="s">
        <v>380</v>
      </c>
      <c r="V336" s="12" t="s">
        <v>95</v>
      </c>
      <c r="W336" s="12" t="s">
        <v>46</v>
      </c>
      <c r="X336" s="12" t="s">
        <v>379</v>
      </c>
      <c r="Y336" s="11" t="str">
        <f>HYPERLINK("https://www.stromypodkontrolou.cz/map/tree/d41bce85-5010-4276-b929-4760db78c679/e5a4f2a3-a62e-4a9d-b25c-c819969c78b0")</f>
        <v>https://www.stromypodkontrolou.cz/map/tree/d41bce85-5010-4276-b929-4760db78c679/e5a4f2a3-a62e-4a9d-b25c-c819969c78b0</v>
      </c>
      <c r="Z336" s="11">
        <v>-750138.62400399998</v>
      </c>
      <c r="AA336" s="11">
        <v>-1002659.567489</v>
      </c>
      <c r="AB336" s="11" t="str">
        <f>HYPERLINK("https://www.mapy.cz?st=search&amp;fr=50.43776636 14.24161088")</f>
        <v>https://www.mapy.cz?st=search&amp;fr=50.43776636 14.24161088</v>
      </c>
      <c r="AC336" s="6">
        <f t="shared" si="72"/>
        <v>77</v>
      </c>
      <c r="AD336" s="6" t="s">
        <v>869</v>
      </c>
      <c r="AE336" s="37"/>
    </row>
    <row r="337" spans="1:31" ht="35.1" customHeight="1" x14ac:dyDescent="0.2">
      <c r="A337" s="26" t="s">
        <v>363</v>
      </c>
      <c r="B337" s="12">
        <v>10394</v>
      </c>
      <c r="C337" s="13" t="s">
        <v>832</v>
      </c>
      <c r="D337" s="14" t="s">
        <v>339</v>
      </c>
      <c r="E337" s="11" t="s">
        <v>340</v>
      </c>
      <c r="F337" s="12" t="s">
        <v>64</v>
      </c>
      <c r="G337" s="12"/>
      <c r="H337" s="12"/>
      <c r="I337" s="12"/>
      <c r="J337" s="12" t="s">
        <v>79</v>
      </c>
      <c r="K337" s="12" t="s">
        <v>61</v>
      </c>
      <c r="L337" s="12" t="s">
        <v>50</v>
      </c>
      <c r="M337" s="12" t="s">
        <v>37</v>
      </c>
      <c r="N337" s="12" t="s">
        <v>105</v>
      </c>
      <c r="O337" s="12" t="s">
        <v>46</v>
      </c>
      <c r="P337" s="12" t="s">
        <v>37</v>
      </c>
      <c r="Q337" s="12" t="s">
        <v>37</v>
      </c>
      <c r="R337" s="11" t="s">
        <v>833</v>
      </c>
      <c r="S337" s="11" t="s">
        <v>364</v>
      </c>
      <c r="T337" s="11" t="s">
        <v>365</v>
      </c>
      <c r="U337" s="11" t="s">
        <v>378</v>
      </c>
      <c r="V337" s="12" t="s">
        <v>95</v>
      </c>
      <c r="W337" s="12" t="s">
        <v>46</v>
      </c>
      <c r="X337" s="12" t="s">
        <v>379</v>
      </c>
      <c r="Y337" s="11" t="str">
        <f>HYPERLINK("https://www.stromypodkontrolou.cz/map/tree/d41bce85-5010-4276-b929-4760db78c679/9bc0b6dc-5d46-42ad-8da2-4d1bde143c07")</f>
        <v>https://www.stromypodkontrolou.cz/map/tree/d41bce85-5010-4276-b929-4760db78c679/9bc0b6dc-5d46-42ad-8da2-4d1bde143c07</v>
      </c>
      <c r="Z337" s="11">
        <v>-749832.29094800004</v>
      </c>
      <c r="AA337" s="11">
        <v>-1003617.231756</v>
      </c>
      <c r="AB337" s="11" t="str">
        <f>HYPERLINK("https://www.mapy.cz?st=search&amp;fr=50.42962157 14.24775012")</f>
        <v>https://www.mapy.cz?st=search&amp;fr=50.42962157 14.24775012</v>
      </c>
      <c r="AC337" s="6">
        <f t="shared" ref="AC337:AC339" si="73">(J337-K337)*L337</f>
        <v>70</v>
      </c>
      <c r="AD337" s="6" t="s">
        <v>866</v>
      </c>
      <c r="AE337" s="37"/>
    </row>
    <row r="338" spans="1:31" ht="35.1" customHeight="1" x14ac:dyDescent="0.2">
      <c r="A338" s="26" t="s">
        <v>363</v>
      </c>
      <c r="B338" s="12">
        <v>10395</v>
      </c>
      <c r="C338" s="13" t="s">
        <v>834</v>
      </c>
      <c r="D338" s="14" t="s">
        <v>835</v>
      </c>
      <c r="E338" s="11" t="s">
        <v>836</v>
      </c>
      <c r="F338" s="12" t="s">
        <v>179</v>
      </c>
      <c r="G338" s="12"/>
      <c r="H338" s="12"/>
      <c r="I338" s="12"/>
      <c r="J338" s="12" t="s">
        <v>102</v>
      </c>
      <c r="K338" s="12" t="s">
        <v>76</v>
      </c>
      <c r="L338" s="12" t="s">
        <v>104</v>
      </c>
      <c r="M338" s="12" t="s">
        <v>34</v>
      </c>
      <c r="N338" s="12" t="s">
        <v>105</v>
      </c>
      <c r="O338" s="12" t="s">
        <v>36</v>
      </c>
      <c r="P338" s="12" t="s">
        <v>46</v>
      </c>
      <c r="Q338" s="12" t="s">
        <v>46</v>
      </c>
      <c r="R338" s="11" t="s">
        <v>501</v>
      </c>
      <c r="S338" s="11" t="s">
        <v>364</v>
      </c>
      <c r="T338" s="11" t="s">
        <v>365</v>
      </c>
      <c r="U338" s="11" t="s">
        <v>503</v>
      </c>
      <c r="V338" s="12" t="s">
        <v>95</v>
      </c>
      <c r="W338" s="12" t="s">
        <v>46</v>
      </c>
      <c r="X338" s="12" t="s">
        <v>433</v>
      </c>
      <c r="Y338" s="11" t="str">
        <f>HYPERLINK("https://www.stromypodkontrolou.cz/map/tree/d41bce85-5010-4276-b929-4760db78c679/0cd9efbe-a8a1-4cb8-be7f-cffd8d34c479")</f>
        <v>https://www.stromypodkontrolou.cz/map/tree/d41bce85-5010-4276-b929-4760db78c679/0cd9efbe-a8a1-4cb8-be7f-cffd8d34c479</v>
      </c>
      <c r="Z338" s="11">
        <v>-749809.49308000004</v>
      </c>
      <c r="AA338" s="11">
        <v>-1003638.749261</v>
      </c>
      <c r="AB338" s="11" t="str">
        <f>HYPERLINK("https://www.mapy.cz?st=search&amp;fr=50.42945839 14.24810987")</f>
        <v>https://www.mapy.cz?st=search&amp;fr=50.42945839 14.24810987</v>
      </c>
      <c r="AC338" s="6">
        <f t="shared" si="73"/>
        <v>154</v>
      </c>
      <c r="AD338" s="6" t="s">
        <v>869</v>
      </c>
      <c r="AE338" s="37"/>
    </row>
    <row r="339" spans="1:31" ht="35.1" customHeight="1" x14ac:dyDescent="0.2">
      <c r="A339" s="26" t="s">
        <v>363</v>
      </c>
      <c r="B339" s="12">
        <v>10397</v>
      </c>
      <c r="C339" s="13" t="s">
        <v>837</v>
      </c>
      <c r="D339" s="14" t="s">
        <v>339</v>
      </c>
      <c r="E339" s="11" t="s">
        <v>340</v>
      </c>
      <c r="F339" s="12" t="s">
        <v>83</v>
      </c>
      <c r="G339" s="12"/>
      <c r="H339" s="12"/>
      <c r="I339" s="12"/>
      <c r="J339" s="12" t="s">
        <v>42</v>
      </c>
      <c r="K339" s="12" t="s">
        <v>103</v>
      </c>
      <c r="L339" s="12" t="s">
        <v>50</v>
      </c>
      <c r="M339" s="12" t="s">
        <v>37</v>
      </c>
      <c r="N339" s="12" t="s">
        <v>105</v>
      </c>
      <c r="O339" s="12" t="s">
        <v>46</v>
      </c>
      <c r="P339" s="12" t="s">
        <v>46</v>
      </c>
      <c r="Q339" s="12" t="s">
        <v>36</v>
      </c>
      <c r="R339" s="11" t="s">
        <v>251</v>
      </c>
      <c r="S339" s="11" t="s">
        <v>364</v>
      </c>
      <c r="T339" s="11" t="s">
        <v>838</v>
      </c>
      <c r="U339" s="11" t="s">
        <v>378</v>
      </c>
      <c r="V339" s="12" t="s">
        <v>95</v>
      </c>
      <c r="W339" s="12" t="s">
        <v>46</v>
      </c>
      <c r="X339" s="12"/>
      <c r="Y339" s="11" t="str">
        <f>HYPERLINK("https://www.stromypodkontrolou.cz/map/tree/d41bce85-5010-4276-b929-4760db78c679/fb0b7fe3-9db5-47c7-857c-35dfd004e483")</f>
        <v>https://www.stromypodkontrolou.cz/map/tree/d41bce85-5010-4276-b929-4760db78c679/fb0b7fe3-9db5-47c7-857c-35dfd004e483</v>
      </c>
      <c r="Z339" s="11">
        <v>-749754.09136099997</v>
      </c>
      <c r="AA339" s="11">
        <v>-1003700.235913</v>
      </c>
      <c r="AB339" s="11" t="str">
        <f>HYPERLINK("https://www.mapy.cz?st=search&amp;fr=50.42897997 14.24900204")</f>
        <v>https://www.mapy.cz?st=search&amp;fr=50.42897997 14.24900204</v>
      </c>
      <c r="AC339" s="6">
        <f t="shared" si="73"/>
        <v>42</v>
      </c>
      <c r="AD339" s="6" t="s">
        <v>866</v>
      </c>
      <c r="AE339" s="37"/>
    </row>
    <row r="340" spans="1:31" ht="35.1" customHeight="1" x14ac:dyDescent="0.2">
      <c r="A340" s="26" t="s">
        <v>366</v>
      </c>
      <c r="B340" s="12">
        <v>15831</v>
      </c>
      <c r="C340" s="13" t="s">
        <v>839</v>
      </c>
      <c r="D340" s="14" t="s">
        <v>28</v>
      </c>
      <c r="E340" s="11" t="s">
        <v>29</v>
      </c>
      <c r="F340" s="12" t="s">
        <v>326</v>
      </c>
      <c r="G340" s="12"/>
      <c r="H340" s="12"/>
      <c r="I340" s="12"/>
      <c r="J340" s="12" t="s">
        <v>99</v>
      </c>
      <c r="K340" s="12" t="s">
        <v>61</v>
      </c>
      <c r="L340" s="12" t="s">
        <v>44</v>
      </c>
      <c r="M340" s="12" t="s">
        <v>95</v>
      </c>
      <c r="N340" s="12" t="s">
        <v>45</v>
      </c>
      <c r="O340" s="12" t="s">
        <v>46</v>
      </c>
      <c r="P340" s="12" t="s">
        <v>36</v>
      </c>
      <c r="Q340" s="12" t="s">
        <v>34</v>
      </c>
      <c r="R340" s="11" t="s">
        <v>431</v>
      </c>
      <c r="S340" s="11" t="s">
        <v>180</v>
      </c>
      <c r="T340" s="11" t="s">
        <v>862</v>
      </c>
      <c r="U340" s="11" t="s">
        <v>432</v>
      </c>
      <c r="V340" s="12" t="s">
        <v>36</v>
      </c>
      <c r="W340" s="12" t="s">
        <v>46</v>
      </c>
      <c r="X340" s="12"/>
      <c r="Y340" s="11" t="str">
        <f>HYPERLINK("https://www.stromypodkontrolou.cz/map/tree/d41bce85-5010-4276-b929-4760db78c679/5ced1a7a-8e6e-441d-b7b8-fc859a873990")</f>
        <v>https://www.stromypodkontrolou.cz/map/tree/d41bce85-5010-4276-b929-4760db78c679/5ced1a7a-8e6e-441d-b7b8-fc859a873990</v>
      </c>
      <c r="Z340" s="11">
        <v>-761149.02552000002</v>
      </c>
      <c r="AA340" s="11">
        <v>-989643.74918899999</v>
      </c>
      <c r="AB340" s="11" t="str">
        <f>HYPERLINK("https://www.mapy.cz?st=search&amp;fr=50.53978642 14.06231962")</f>
        <v>https://www.mapy.cz?st=search&amp;fr=50.53978642 14.06231962</v>
      </c>
      <c r="AC340" s="6">
        <f t="shared" ref="AC340:AC346" si="74">(J340-K340)*L340</f>
        <v>48</v>
      </c>
      <c r="AD340" s="6" t="s">
        <v>873</v>
      </c>
      <c r="AE340" s="37"/>
    </row>
    <row r="341" spans="1:31" ht="35.1" customHeight="1" x14ac:dyDescent="0.2">
      <c r="A341" s="26" t="s">
        <v>366</v>
      </c>
      <c r="B341" s="12">
        <v>15832</v>
      </c>
      <c r="C341" s="13" t="s">
        <v>840</v>
      </c>
      <c r="D341" s="14" t="s">
        <v>28</v>
      </c>
      <c r="E341" s="11" t="s">
        <v>29</v>
      </c>
      <c r="F341" s="12" t="s">
        <v>368</v>
      </c>
      <c r="G341" s="12"/>
      <c r="H341" s="12"/>
      <c r="I341" s="12"/>
      <c r="J341" s="12" t="s">
        <v>60</v>
      </c>
      <c r="K341" s="12" t="s">
        <v>61</v>
      </c>
      <c r="L341" s="12" t="s">
        <v>50</v>
      </c>
      <c r="M341" s="12" t="s">
        <v>95</v>
      </c>
      <c r="N341" s="12" t="s">
        <v>45</v>
      </c>
      <c r="O341" s="12" t="s">
        <v>36</v>
      </c>
      <c r="P341" s="12" t="s">
        <v>37</v>
      </c>
      <c r="Q341" s="12" t="s">
        <v>34</v>
      </c>
      <c r="R341" s="11" t="s">
        <v>841</v>
      </c>
      <c r="S341" s="11" t="s">
        <v>180</v>
      </c>
      <c r="T341" s="11" t="s">
        <v>862</v>
      </c>
      <c r="U341" s="11" t="s">
        <v>432</v>
      </c>
      <c r="V341" s="12" t="s">
        <v>36</v>
      </c>
      <c r="W341" s="12" t="s">
        <v>46</v>
      </c>
      <c r="X341" s="12"/>
      <c r="Y341" s="11" t="str">
        <f>HYPERLINK("https://www.stromypodkontrolou.cz/map/tree/d41bce85-5010-4276-b929-4760db78c679/997c03fa-1462-4f33-9c8a-157efda70f5a")</f>
        <v>https://www.stromypodkontrolou.cz/map/tree/d41bce85-5010-4276-b929-4760db78c679/997c03fa-1462-4f33-9c8a-157efda70f5a</v>
      </c>
      <c r="Z341" s="11">
        <v>-761152.25158499996</v>
      </c>
      <c r="AA341" s="11">
        <v>-989630.67264400003</v>
      </c>
      <c r="AB341" s="11" t="str">
        <f>HYPERLINK("https://www.mapy.cz?st=search&amp;fr=50.53989871 14.06224854")</f>
        <v>https://www.mapy.cz?st=search&amp;fr=50.53989871 14.06224854</v>
      </c>
      <c r="AC341" s="6">
        <f t="shared" si="74"/>
        <v>63</v>
      </c>
      <c r="AD341" s="6" t="s">
        <v>873</v>
      </c>
      <c r="AE341" s="37"/>
    </row>
    <row r="342" spans="1:31" ht="35.1" customHeight="1" x14ac:dyDescent="0.2">
      <c r="A342" s="26" t="s">
        <v>366</v>
      </c>
      <c r="B342" s="12">
        <v>15833</v>
      </c>
      <c r="C342" s="13" t="s">
        <v>842</v>
      </c>
      <c r="D342" s="14" t="s">
        <v>28</v>
      </c>
      <c r="E342" s="11" t="s">
        <v>29</v>
      </c>
      <c r="F342" s="12" t="s">
        <v>532</v>
      </c>
      <c r="G342" s="12"/>
      <c r="H342" s="12"/>
      <c r="I342" s="12"/>
      <c r="J342" s="12" t="s">
        <v>99</v>
      </c>
      <c r="K342" s="12" t="s">
        <v>61</v>
      </c>
      <c r="L342" s="12" t="s">
        <v>50</v>
      </c>
      <c r="M342" s="12" t="s">
        <v>95</v>
      </c>
      <c r="N342" s="12" t="s">
        <v>45</v>
      </c>
      <c r="O342" s="12" t="s">
        <v>46</v>
      </c>
      <c r="P342" s="12" t="s">
        <v>36</v>
      </c>
      <c r="Q342" s="12" t="s">
        <v>34</v>
      </c>
      <c r="R342" s="11" t="s">
        <v>431</v>
      </c>
      <c r="S342" s="11" t="s">
        <v>180</v>
      </c>
      <c r="T342" s="11" t="s">
        <v>862</v>
      </c>
      <c r="U342" s="11" t="s">
        <v>432</v>
      </c>
      <c r="V342" s="12" t="s">
        <v>36</v>
      </c>
      <c r="W342" s="12" t="s">
        <v>46</v>
      </c>
      <c r="X342" s="12"/>
      <c r="Y342" s="11" t="str">
        <f>HYPERLINK("https://www.stromypodkontrolou.cz/map/tree/d41bce85-5010-4276-b929-4760db78c679/65062f86-12e8-463c-84da-951600dd6589")</f>
        <v>https://www.stromypodkontrolou.cz/map/tree/d41bce85-5010-4276-b929-4760db78c679/65062f86-12e8-463c-84da-951600dd6589</v>
      </c>
      <c r="Z342" s="11">
        <v>-761154.23617399996</v>
      </c>
      <c r="AA342" s="11">
        <v>-989623.87794100004</v>
      </c>
      <c r="AB342" s="11" t="str">
        <f>HYPERLINK("https://www.mapy.cz?st=search&amp;fr=50.53995667 14.06220730")</f>
        <v>https://www.mapy.cz?st=search&amp;fr=50.53995667 14.06220730</v>
      </c>
      <c r="AC342" s="6">
        <f t="shared" si="74"/>
        <v>56</v>
      </c>
      <c r="AD342" s="6" t="s">
        <v>873</v>
      </c>
      <c r="AE342" s="37"/>
    </row>
    <row r="343" spans="1:31" ht="35.1" customHeight="1" x14ac:dyDescent="0.2">
      <c r="A343" s="26" t="s">
        <v>366</v>
      </c>
      <c r="B343" s="12">
        <v>15835</v>
      </c>
      <c r="C343" s="13" t="s">
        <v>843</v>
      </c>
      <c r="D343" s="14" t="s">
        <v>28</v>
      </c>
      <c r="E343" s="11" t="s">
        <v>29</v>
      </c>
      <c r="F343" s="12" t="s">
        <v>220</v>
      </c>
      <c r="G343" s="12"/>
      <c r="H343" s="12"/>
      <c r="I343" s="12"/>
      <c r="J343" s="12" t="s">
        <v>99</v>
      </c>
      <c r="K343" s="12" t="s">
        <v>61</v>
      </c>
      <c r="L343" s="12" t="s">
        <v>44</v>
      </c>
      <c r="M343" s="12" t="s">
        <v>34</v>
      </c>
      <c r="N343" s="12" t="s">
        <v>105</v>
      </c>
      <c r="O343" s="12" t="s">
        <v>46</v>
      </c>
      <c r="P343" s="12" t="s">
        <v>36</v>
      </c>
      <c r="Q343" s="12" t="s">
        <v>37</v>
      </c>
      <c r="R343" s="11" t="s">
        <v>431</v>
      </c>
      <c r="S343" s="11" t="s">
        <v>180</v>
      </c>
      <c r="T343" s="11" t="s">
        <v>862</v>
      </c>
      <c r="U343" s="11" t="s">
        <v>432</v>
      </c>
      <c r="V343" s="12" t="s">
        <v>36</v>
      </c>
      <c r="W343" s="12" t="s">
        <v>46</v>
      </c>
      <c r="X343" s="12"/>
      <c r="Y343" s="11" t="str">
        <f>HYPERLINK("https://www.stromypodkontrolou.cz/map/tree/d41bce85-5010-4276-b929-4760db78c679/d630d5e2-f7cd-4993-b0b5-3c2605b75ed1")</f>
        <v>https://www.stromypodkontrolou.cz/map/tree/d41bce85-5010-4276-b929-4760db78c679/d630d5e2-f7cd-4993-b0b5-3c2605b75ed1</v>
      </c>
      <c r="Z343" s="11">
        <v>-761157.35162700003</v>
      </c>
      <c r="AA343" s="11">
        <v>-989610.36231899995</v>
      </c>
      <c r="AB343" s="11" t="str">
        <f>HYPERLINK("https://www.mapy.cz?st=search&amp;fr=50.54007302 14.06213690")</f>
        <v>https://www.mapy.cz?st=search&amp;fr=50.54007302 14.06213690</v>
      </c>
      <c r="AC343" s="6">
        <f t="shared" si="74"/>
        <v>48</v>
      </c>
      <c r="AD343" s="6" t="s">
        <v>873</v>
      </c>
      <c r="AE343" s="37"/>
    </row>
    <row r="344" spans="1:31" ht="35.1" customHeight="1" x14ac:dyDescent="0.2">
      <c r="A344" s="26" t="s">
        <v>366</v>
      </c>
      <c r="B344" s="12">
        <v>15837</v>
      </c>
      <c r="C344" s="13" t="s">
        <v>844</v>
      </c>
      <c r="D344" s="14" t="s">
        <v>28</v>
      </c>
      <c r="E344" s="11" t="s">
        <v>29</v>
      </c>
      <c r="F344" s="12" t="s">
        <v>231</v>
      </c>
      <c r="G344" s="12"/>
      <c r="H344" s="12"/>
      <c r="I344" s="12"/>
      <c r="J344" s="12" t="s">
        <v>60</v>
      </c>
      <c r="K344" s="12" t="s">
        <v>61</v>
      </c>
      <c r="L344" s="12" t="s">
        <v>44</v>
      </c>
      <c r="M344" s="12" t="s">
        <v>95</v>
      </c>
      <c r="N344" s="12" t="s">
        <v>45</v>
      </c>
      <c r="O344" s="12" t="s">
        <v>36</v>
      </c>
      <c r="P344" s="12" t="s">
        <v>37</v>
      </c>
      <c r="Q344" s="12" t="s">
        <v>34</v>
      </c>
      <c r="R344" s="11" t="s">
        <v>845</v>
      </c>
      <c r="S344" s="11" t="s">
        <v>180</v>
      </c>
      <c r="T344" s="11" t="s">
        <v>862</v>
      </c>
      <c r="U344" s="11" t="s">
        <v>432</v>
      </c>
      <c r="V344" s="12" t="s">
        <v>36</v>
      </c>
      <c r="W344" s="12" t="s">
        <v>46</v>
      </c>
      <c r="X344" s="12"/>
      <c r="Y344" s="11" t="str">
        <f>HYPERLINK("https://www.stromypodkontrolou.cz/map/tree/d41bce85-5010-4276-b929-4760db78c679/1e7b7e8a-82fb-4627-87db-6589f27a27ad")</f>
        <v>https://www.stromypodkontrolou.cz/map/tree/d41bce85-5010-4276-b929-4760db78c679/1e7b7e8a-82fb-4627-87db-6589f27a27ad</v>
      </c>
      <c r="Z344" s="11">
        <v>-761160.51102099998</v>
      </c>
      <c r="AA344" s="11">
        <v>-989596.48135100002</v>
      </c>
      <c r="AB344" s="11" t="str">
        <f>HYPERLINK("https://www.mapy.cz?st=search&amp;fr=50.54019255 14.06206515")</f>
        <v>https://www.mapy.cz?st=search&amp;fr=50.54019255 14.06206515</v>
      </c>
      <c r="AC344" s="6">
        <f t="shared" si="74"/>
        <v>54</v>
      </c>
      <c r="AD344" s="6" t="s">
        <v>873</v>
      </c>
      <c r="AE344" s="37"/>
    </row>
    <row r="345" spans="1:31" ht="35.1" customHeight="1" x14ac:dyDescent="0.2">
      <c r="A345" s="47" t="s">
        <v>367</v>
      </c>
      <c r="B345" s="46">
        <v>15919</v>
      </c>
      <c r="C345" s="48" t="s">
        <v>846</v>
      </c>
      <c r="D345" s="49" t="s">
        <v>28</v>
      </c>
      <c r="E345" s="45" t="s">
        <v>29</v>
      </c>
      <c r="F345" s="46" t="s">
        <v>213</v>
      </c>
      <c r="G345" s="46"/>
      <c r="H345" s="46"/>
      <c r="I345" s="46"/>
      <c r="J345" s="46" t="s">
        <v>154</v>
      </c>
      <c r="K345" s="46" t="s">
        <v>51</v>
      </c>
      <c r="L345" s="46" t="s">
        <v>47</v>
      </c>
      <c r="M345" s="46" t="s">
        <v>34</v>
      </c>
      <c r="N345" s="46" t="s">
        <v>105</v>
      </c>
      <c r="O345" s="46" t="s">
        <v>36</v>
      </c>
      <c r="P345" s="46" t="s">
        <v>37</v>
      </c>
      <c r="Q345" s="46" t="s">
        <v>37</v>
      </c>
      <c r="R345" s="45" t="s">
        <v>847</v>
      </c>
      <c r="S345" s="45" t="s">
        <v>355</v>
      </c>
      <c r="T345" s="45" t="s">
        <v>357</v>
      </c>
      <c r="U345" s="11" t="s">
        <v>382</v>
      </c>
      <c r="V345" s="12" t="s">
        <v>95</v>
      </c>
      <c r="W345" s="12" t="s">
        <v>46</v>
      </c>
      <c r="X345" s="12"/>
      <c r="Y345" s="45" t="str">
        <f>HYPERLINK("https://www.stromypodkontrolou.cz/map/tree/d41bce85-5010-4276-b929-4760db78c679/65c0c315-de4a-473c-a875-2c79e1192b11")</f>
        <v>https://www.stromypodkontrolou.cz/map/tree/d41bce85-5010-4276-b929-4760db78c679/65c0c315-de4a-473c-a875-2c79e1192b11</v>
      </c>
      <c r="Z345" s="45">
        <v>-750127.20482800005</v>
      </c>
      <c r="AA345" s="45">
        <v>-1000796.603705</v>
      </c>
      <c r="AB345" s="45" t="str">
        <f>HYPERLINK("https://www.mapy.cz?st=search&amp;fr=50.45436745 14.23813172")</f>
        <v>https://www.mapy.cz?st=search&amp;fr=50.45436745 14.23813172</v>
      </c>
      <c r="AC345" s="6">
        <f t="shared" si="74"/>
        <v>228</v>
      </c>
      <c r="AD345" s="6" t="s">
        <v>870</v>
      </c>
      <c r="AE345" s="37"/>
    </row>
    <row r="346" spans="1:31" ht="35.1" customHeight="1" x14ac:dyDescent="0.2">
      <c r="A346" s="47"/>
      <c r="B346" s="46"/>
      <c r="C346" s="48"/>
      <c r="D346" s="49"/>
      <c r="E346" s="45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5"/>
      <c r="S346" s="45"/>
      <c r="T346" s="45"/>
      <c r="U346" s="11" t="s">
        <v>384</v>
      </c>
      <c r="V346" s="12" t="s">
        <v>95</v>
      </c>
      <c r="W346" s="12" t="s">
        <v>46</v>
      </c>
      <c r="X346" s="12" t="s">
        <v>422</v>
      </c>
      <c r="Y346" s="45"/>
      <c r="Z346" s="45"/>
      <c r="AA346" s="45"/>
      <c r="AB346" s="45"/>
      <c r="AC346" s="6">
        <f t="shared" si="74"/>
        <v>0</v>
      </c>
      <c r="AD346" s="6" t="s">
        <v>865</v>
      </c>
      <c r="AE346" s="37"/>
    </row>
    <row r="347" spans="1:31" ht="35.1" customHeight="1" x14ac:dyDescent="0.2">
      <c r="A347" s="26" t="s">
        <v>367</v>
      </c>
      <c r="B347" s="12">
        <v>15927</v>
      </c>
      <c r="C347" s="13" t="s">
        <v>850</v>
      </c>
      <c r="D347" s="14" t="s">
        <v>109</v>
      </c>
      <c r="E347" s="11" t="s">
        <v>110</v>
      </c>
      <c r="F347" s="12" t="s">
        <v>70</v>
      </c>
      <c r="G347" s="12"/>
      <c r="H347" s="12"/>
      <c r="I347" s="12"/>
      <c r="J347" s="12" t="s">
        <v>99</v>
      </c>
      <c r="K347" s="12" t="s">
        <v>76</v>
      </c>
      <c r="L347" s="12" t="s">
        <v>95</v>
      </c>
      <c r="M347" s="12" t="s">
        <v>37</v>
      </c>
      <c r="N347" s="12" t="s">
        <v>45</v>
      </c>
      <c r="O347" s="12" t="s">
        <v>36</v>
      </c>
      <c r="P347" s="12" t="s">
        <v>36</v>
      </c>
      <c r="Q347" s="12" t="s">
        <v>37</v>
      </c>
      <c r="R347" s="11" t="s">
        <v>504</v>
      </c>
      <c r="S347" s="11" t="s">
        <v>355</v>
      </c>
      <c r="T347" s="11" t="s">
        <v>357</v>
      </c>
      <c r="U347" s="11" t="s">
        <v>382</v>
      </c>
      <c r="V347" s="12" t="s">
        <v>95</v>
      </c>
      <c r="W347" s="12" t="s">
        <v>46</v>
      </c>
      <c r="X347" s="12"/>
      <c r="Y347" s="11" t="str">
        <f>HYPERLINK("https://www.stromypodkontrolou.cz/map/tree/d41bce85-5010-4276-b929-4760db78c679/4a45f01a-f255-4855-97e0-01814f05d566")</f>
        <v>https://www.stromypodkontrolou.cz/map/tree/d41bce85-5010-4276-b929-4760db78c679/4a45f01a-f255-4855-97e0-01814f05d566</v>
      </c>
      <c r="Z347" s="11">
        <v>-750124.33833399997</v>
      </c>
      <c r="AA347" s="11">
        <v>-1000750.228452</v>
      </c>
      <c r="AB347" s="11" t="str">
        <f>HYPERLINK("https://www.mapy.cz?st=search&amp;fr=50.45478393 14.23808109")</f>
        <v>https://www.mapy.cz?st=search&amp;fr=50.45478393 14.23808109</v>
      </c>
      <c r="AC347" s="6">
        <f>(J347-K347)*L347</f>
        <v>20</v>
      </c>
      <c r="AD347" s="6" t="s">
        <v>870</v>
      </c>
      <c r="AE347" s="37"/>
    </row>
    <row r="348" spans="1:31" ht="35.1" customHeight="1" x14ac:dyDescent="0.2">
      <c r="A348" s="26" t="s">
        <v>369</v>
      </c>
      <c r="B348" s="12">
        <v>15045</v>
      </c>
      <c r="C348" s="13" t="s">
        <v>851</v>
      </c>
      <c r="D348" s="14" t="s">
        <v>133</v>
      </c>
      <c r="E348" s="11" t="s">
        <v>134</v>
      </c>
      <c r="F348" s="12" t="s">
        <v>204</v>
      </c>
      <c r="G348" s="12"/>
      <c r="H348" s="12"/>
      <c r="I348" s="12"/>
      <c r="J348" s="12" t="s">
        <v>75</v>
      </c>
      <c r="K348" s="12" t="s">
        <v>61</v>
      </c>
      <c r="L348" s="12" t="s">
        <v>48</v>
      </c>
      <c r="M348" s="12" t="s">
        <v>34</v>
      </c>
      <c r="N348" s="12" t="s">
        <v>45</v>
      </c>
      <c r="O348" s="12" t="s">
        <v>46</v>
      </c>
      <c r="P348" s="12" t="s">
        <v>37</v>
      </c>
      <c r="Q348" s="12" t="s">
        <v>37</v>
      </c>
      <c r="R348" s="11" t="s">
        <v>214</v>
      </c>
      <c r="S348" s="11" t="s">
        <v>348</v>
      </c>
      <c r="T348" s="11" t="s">
        <v>370</v>
      </c>
      <c r="U348" s="11" t="s">
        <v>384</v>
      </c>
      <c r="V348" s="12"/>
      <c r="W348" s="12" t="s">
        <v>46</v>
      </c>
      <c r="X348" s="12"/>
      <c r="Y348" s="11" t="str">
        <f>HYPERLINK("https://www.stromypodkontrolou.cz/map/tree/d41bce85-5010-4276-b929-4760db78c679/1cffbb9e-ddd1-4ac4-b8c6-80914aee3ffe")</f>
        <v>https://www.stromypodkontrolou.cz/map/tree/d41bce85-5010-4276-b929-4760db78c679/1cffbb9e-ddd1-4ac4-b8c6-80914aee3ffe</v>
      </c>
      <c r="Z348" s="11">
        <v>-758897.26568700001</v>
      </c>
      <c r="AA348" s="11">
        <v>-981454.67850299994</v>
      </c>
      <c r="AB348" s="11" t="str">
        <f>HYPERLINK("https://www.mapy.cz?st=search&amp;fr=50.61552546 14.07749657")</f>
        <v>https://www.mapy.cz?st=search&amp;fr=50.61552546 14.07749657</v>
      </c>
      <c r="AC348" s="6">
        <f t="shared" ref="AC348:AC350" si="75">(J348-K348)*L348</f>
        <v>140</v>
      </c>
      <c r="AD348" s="6" t="s">
        <v>865</v>
      </c>
      <c r="AE348" s="37"/>
    </row>
    <row r="349" spans="1:31" ht="35.1" customHeight="1" x14ac:dyDescent="0.2">
      <c r="A349" s="26" t="s">
        <v>372</v>
      </c>
      <c r="B349" s="12">
        <v>15079</v>
      </c>
      <c r="C349" s="13" t="s">
        <v>852</v>
      </c>
      <c r="D349" s="14" t="s">
        <v>133</v>
      </c>
      <c r="E349" s="11" t="s">
        <v>134</v>
      </c>
      <c r="F349" s="12" t="s">
        <v>167</v>
      </c>
      <c r="G349" s="12" t="s">
        <v>207</v>
      </c>
      <c r="H349" s="12" t="s">
        <v>82</v>
      </c>
      <c r="I349" s="12" t="s">
        <v>98</v>
      </c>
      <c r="J349" s="12" t="s">
        <v>72</v>
      </c>
      <c r="K349" s="12" t="s">
        <v>113</v>
      </c>
      <c r="L349" s="12" t="s">
        <v>47</v>
      </c>
      <c r="M349" s="12" t="s">
        <v>34</v>
      </c>
      <c r="N349" s="12" t="s">
        <v>45</v>
      </c>
      <c r="O349" s="12" t="s">
        <v>36</v>
      </c>
      <c r="P349" s="12" t="s">
        <v>37</v>
      </c>
      <c r="Q349" s="12" t="s">
        <v>37</v>
      </c>
      <c r="R349" s="11" t="s">
        <v>258</v>
      </c>
      <c r="S349" s="11" t="s">
        <v>371</v>
      </c>
      <c r="T349" s="11" t="s">
        <v>373</v>
      </c>
      <c r="U349" s="11" t="s">
        <v>384</v>
      </c>
      <c r="V349" s="12" t="s">
        <v>95</v>
      </c>
      <c r="W349" s="12" t="s">
        <v>46</v>
      </c>
      <c r="X349" s="12" t="s">
        <v>406</v>
      </c>
      <c r="Y349" s="11" t="str">
        <f>HYPERLINK("https://www.stromypodkontrolou.cz/map/tree/d41bce85-5010-4276-b929-4760db78c679/674aafdd-d287-4b08-83dc-606e449fc8f5")</f>
        <v>https://www.stromypodkontrolou.cz/map/tree/d41bce85-5010-4276-b929-4760db78c679/674aafdd-d287-4b08-83dc-606e449fc8f5</v>
      </c>
      <c r="Z349" s="11">
        <v>-759593.96778599999</v>
      </c>
      <c r="AA349" s="11">
        <v>-983261.13292</v>
      </c>
      <c r="AB349" s="11" t="str">
        <f>HYPERLINK("https://www.mapy.cz?st=search&amp;fr=50.59856491 14.07134794")</f>
        <v>https://www.mapy.cz?st=search&amp;fr=50.59856491 14.07134794</v>
      </c>
      <c r="AC349" s="6">
        <f t="shared" si="75"/>
        <v>144</v>
      </c>
      <c r="AD349" s="6" t="s">
        <v>865</v>
      </c>
      <c r="AE349" s="37"/>
    </row>
    <row r="350" spans="1:31" ht="35.1" customHeight="1" x14ac:dyDescent="0.2">
      <c r="A350" s="26" t="s">
        <v>372</v>
      </c>
      <c r="B350" s="12">
        <v>15081</v>
      </c>
      <c r="C350" s="13" t="s">
        <v>853</v>
      </c>
      <c r="D350" s="14" t="s">
        <v>133</v>
      </c>
      <c r="E350" s="11" t="s">
        <v>134</v>
      </c>
      <c r="F350" s="12" t="s">
        <v>152</v>
      </c>
      <c r="G350" s="12" t="s">
        <v>193</v>
      </c>
      <c r="H350" s="12" t="s">
        <v>69</v>
      </c>
      <c r="I350" s="12"/>
      <c r="J350" s="12" t="s">
        <v>72</v>
      </c>
      <c r="K350" s="12" t="s">
        <v>32</v>
      </c>
      <c r="L350" s="12" t="s">
        <v>47</v>
      </c>
      <c r="M350" s="12" t="s">
        <v>34</v>
      </c>
      <c r="N350" s="12" t="s">
        <v>45</v>
      </c>
      <c r="O350" s="12" t="s">
        <v>36</v>
      </c>
      <c r="P350" s="12" t="s">
        <v>37</v>
      </c>
      <c r="Q350" s="12" t="s">
        <v>37</v>
      </c>
      <c r="R350" s="11" t="s">
        <v>854</v>
      </c>
      <c r="S350" s="11" t="s">
        <v>371</v>
      </c>
      <c r="T350" s="11" t="s">
        <v>373</v>
      </c>
      <c r="U350" s="11" t="s">
        <v>384</v>
      </c>
      <c r="V350" s="12" t="s">
        <v>95</v>
      </c>
      <c r="W350" s="12" t="s">
        <v>46</v>
      </c>
      <c r="X350" s="12" t="s">
        <v>388</v>
      </c>
      <c r="Y350" s="11" t="str">
        <f>HYPERLINK("https://www.stromypodkontrolou.cz/map/tree/d41bce85-5010-4276-b929-4760db78c679/766bd275-35bd-4b4b-a727-3d99e70508bf")</f>
        <v>https://www.stromypodkontrolou.cz/map/tree/d41bce85-5010-4276-b929-4760db78c679/766bd275-35bd-4b4b-a727-3d99e70508bf</v>
      </c>
      <c r="Z350" s="11">
        <v>-759600.93488299998</v>
      </c>
      <c r="AA350" s="11">
        <v>-983270.494619</v>
      </c>
      <c r="AB350" s="11" t="str">
        <f>HYPERLINK("https://www.mapy.cz?st=search&amp;fr=50.59847276 14.07126915")</f>
        <v>https://www.mapy.cz?st=search&amp;fr=50.59847276 14.07126915</v>
      </c>
      <c r="AC350" s="6">
        <f t="shared" si="75"/>
        <v>156</v>
      </c>
      <c r="AD350" s="6" t="s">
        <v>865</v>
      </c>
      <c r="AE350" s="37"/>
    </row>
    <row r="351" spans="1:31" ht="35.1" customHeight="1" x14ac:dyDescent="0.2">
      <c r="A351" s="26" t="s">
        <v>374</v>
      </c>
      <c r="B351" s="12">
        <v>10017</v>
      </c>
      <c r="C351" s="13" t="s">
        <v>855</v>
      </c>
      <c r="D351" s="14" t="s">
        <v>28</v>
      </c>
      <c r="E351" s="11" t="s">
        <v>29</v>
      </c>
      <c r="F351" s="12" t="s">
        <v>237</v>
      </c>
      <c r="G351" s="12"/>
      <c r="H351" s="12"/>
      <c r="I351" s="12"/>
      <c r="J351" s="12" t="s">
        <v>209</v>
      </c>
      <c r="K351" s="12" t="s">
        <v>32</v>
      </c>
      <c r="L351" s="12" t="s">
        <v>48</v>
      </c>
      <c r="M351" s="12" t="s">
        <v>34</v>
      </c>
      <c r="N351" s="12" t="s">
        <v>45</v>
      </c>
      <c r="O351" s="12" t="s">
        <v>36</v>
      </c>
      <c r="P351" s="12" t="s">
        <v>36</v>
      </c>
      <c r="Q351" s="12" t="s">
        <v>37</v>
      </c>
      <c r="R351" s="11" t="s">
        <v>856</v>
      </c>
      <c r="S351" s="11" t="s">
        <v>375</v>
      </c>
      <c r="T351" s="11" t="s">
        <v>376</v>
      </c>
      <c r="U351" s="11" t="s">
        <v>382</v>
      </c>
      <c r="V351" s="12" t="s">
        <v>95</v>
      </c>
      <c r="W351" s="12" t="s">
        <v>46</v>
      </c>
      <c r="X351" s="12"/>
      <c r="Y351" s="11" t="str">
        <f>HYPERLINK("https://www.stromypodkontrolou.cz/map/tree/d41bce85-5010-4276-b929-4760db78c679/f20e96e9-92ba-4e78-a3b2-513f819f0a5d")</f>
        <v>https://www.stromypodkontrolou.cz/map/tree/d41bce85-5010-4276-b929-4760db78c679/f20e96e9-92ba-4e78-a3b2-513f819f0a5d</v>
      </c>
      <c r="Z351" s="11">
        <v>-761526.33840899996</v>
      </c>
      <c r="AA351" s="11">
        <v>-983265.29417699995</v>
      </c>
      <c r="AB351" s="11" t="str">
        <f>HYPERLINK("https://www.mapy.cz?st=search&amp;fr=50.59607638 14.04433575")</f>
        <v>https://www.mapy.cz?st=search&amp;fr=50.59607638 14.04433575</v>
      </c>
      <c r="AC351" s="6">
        <f t="shared" ref="AC351:AC354" si="76">(J351-K351)*L351</f>
        <v>250</v>
      </c>
      <c r="AD351" s="6" t="s">
        <v>875</v>
      </c>
      <c r="AE351" s="37"/>
    </row>
    <row r="352" spans="1:31" ht="35.1" customHeight="1" x14ac:dyDescent="0.2">
      <c r="A352" s="47" t="s">
        <v>374</v>
      </c>
      <c r="B352" s="46">
        <v>10019</v>
      </c>
      <c r="C352" s="48" t="s">
        <v>857</v>
      </c>
      <c r="D352" s="49" t="s">
        <v>28</v>
      </c>
      <c r="E352" s="45" t="s">
        <v>29</v>
      </c>
      <c r="F352" s="46" t="s">
        <v>238</v>
      </c>
      <c r="G352" s="46"/>
      <c r="H352" s="46"/>
      <c r="I352" s="46"/>
      <c r="J352" s="46" t="s">
        <v>209</v>
      </c>
      <c r="K352" s="46" t="s">
        <v>144</v>
      </c>
      <c r="L352" s="46" t="s">
        <v>48</v>
      </c>
      <c r="M352" s="46" t="s">
        <v>34</v>
      </c>
      <c r="N352" s="46" t="s">
        <v>105</v>
      </c>
      <c r="O352" s="46" t="s">
        <v>36</v>
      </c>
      <c r="P352" s="46" t="s">
        <v>36</v>
      </c>
      <c r="Q352" s="46" t="s">
        <v>36</v>
      </c>
      <c r="R352" s="45"/>
      <c r="S352" s="45" t="s">
        <v>375</v>
      </c>
      <c r="T352" s="45" t="s">
        <v>376</v>
      </c>
      <c r="U352" s="11" t="s">
        <v>380</v>
      </c>
      <c r="V352" s="12" t="s">
        <v>95</v>
      </c>
      <c r="W352" s="12" t="s">
        <v>46</v>
      </c>
      <c r="X352" s="12" t="s">
        <v>439</v>
      </c>
      <c r="Y352" s="45" t="str">
        <f>HYPERLINK("https://www.stromypodkontrolou.cz/map/tree/d41bce85-5010-4276-b929-4760db78c679/193188e7-10be-4a9a-bb6f-33eb27fc51db")</f>
        <v>https://www.stromypodkontrolou.cz/map/tree/d41bce85-5010-4276-b929-4760db78c679/193188e7-10be-4a9a-bb6f-33eb27fc51db</v>
      </c>
      <c r="Z352" s="45">
        <v>-761529.92985399999</v>
      </c>
      <c r="AA352" s="45">
        <v>-983266.096823</v>
      </c>
      <c r="AB352" s="45" t="str">
        <f>HYPERLINK("https://www.mapy.cz?st=search&amp;fr=50.59606468 14.04428713")</f>
        <v>https://www.mapy.cz?st=search&amp;fr=50.59606468 14.04428713</v>
      </c>
      <c r="AC352" s="6">
        <f t="shared" si="76"/>
        <v>220</v>
      </c>
      <c r="AD352" s="6" t="s">
        <v>871</v>
      </c>
      <c r="AE352" s="37"/>
    </row>
    <row r="353" spans="1:31" ht="35.1" customHeight="1" x14ac:dyDescent="0.2">
      <c r="A353" s="47"/>
      <c r="B353" s="46"/>
      <c r="C353" s="48"/>
      <c r="D353" s="49"/>
      <c r="E353" s="45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5"/>
      <c r="S353" s="45"/>
      <c r="T353" s="45"/>
      <c r="U353" s="11" t="s">
        <v>382</v>
      </c>
      <c r="V353" s="12" t="s">
        <v>95</v>
      </c>
      <c r="W353" s="12" t="s">
        <v>46</v>
      </c>
      <c r="X353" s="12"/>
      <c r="Y353" s="45"/>
      <c r="Z353" s="45"/>
      <c r="AA353" s="45"/>
      <c r="AB353" s="45"/>
      <c r="AC353" s="6">
        <f t="shared" si="76"/>
        <v>0</v>
      </c>
      <c r="AD353" s="6" t="s">
        <v>870</v>
      </c>
      <c r="AE353" s="37"/>
    </row>
    <row r="354" spans="1:31" ht="35.1" customHeight="1" x14ac:dyDescent="0.2">
      <c r="A354" s="26" t="s">
        <v>374</v>
      </c>
      <c r="B354" s="12">
        <v>10026</v>
      </c>
      <c r="C354" s="13" t="s">
        <v>858</v>
      </c>
      <c r="D354" s="14" t="s">
        <v>264</v>
      </c>
      <c r="E354" s="11" t="s">
        <v>265</v>
      </c>
      <c r="F354" s="12"/>
      <c r="G354" s="12" t="s">
        <v>88</v>
      </c>
      <c r="H354" s="12"/>
      <c r="I354" s="12"/>
      <c r="J354" s="12" t="s">
        <v>42</v>
      </c>
      <c r="K354" s="12" t="s">
        <v>61</v>
      </c>
      <c r="L354" s="12" t="s">
        <v>50</v>
      </c>
      <c r="M354" s="12" t="s">
        <v>37</v>
      </c>
      <c r="N354" s="12" t="s">
        <v>105</v>
      </c>
      <c r="O354" s="12" t="s">
        <v>36</v>
      </c>
      <c r="P354" s="12" t="s">
        <v>46</v>
      </c>
      <c r="Q354" s="12" t="s">
        <v>36</v>
      </c>
      <c r="R354" s="11" t="s">
        <v>114</v>
      </c>
      <c r="S354" s="11" t="s">
        <v>375</v>
      </c>
      <c r="T354" s="11" t="s">
        <v>376</v>
      </c>
      <c r="U354" s="11" t="s">
        <v>378</v>
      </c>
      <c r="V354" s="12" t="s">
        <v>95</v>
      </c>
      <c r="W354" s="12" t="s">
        <v>46</v>
      </c>
      <c r="X354" s="12" t="s">
        <v>379</v>
      </c>
      <c r="Y354" s="11" t="str">
        <f>HYPERLINK("https://www.stromypodkontrolou.cz/map/tree/d41bce85-5010-4276-b929-4760db78c679/8481e3da-dc43-4326-a86c-4ddd651dd742")</f>
        <v>https://www.stromypodkontrolou.cz/map/tree/d41bce85-5010-4276-b929-4760db78c679/8481e3da-dc43-4326-a86c-4ddd651dd742</v>
      </c>
      <c r="Z354" s="11">
        <v>-761601.964805</v>
      </c>
      <c r="AA354" s="11">
        <v>-983286.95051200001</v>
      </c>
      <c r="AB354" s="11" t="str">
        <f>HYPERLINK("https://www.mapy.cz?st=search&amp;fr=50.59578758 14.04332154")</f>
        <v>https://www.mapy.cz?st=search&amp;fr=50.59578758 14.04332154</v>
      </c>
      <c r="AC354" s="6">
        <f t="shared" si="76"/>
        <v>49</v>
      </c>
      <c r="AD354" s="6" t="s">
        <v>866</v>
      </c>
      <c r="AE354" s="39"/>
    </row>
    <row r="355" spans="1:31" ht="38.25" customHeight="1" x14ac:dyDescent="0.2">
      <c r="A355" s="26" t="s">
        <v>354</v>
      </c>
      <c r="B355" s="12">
        <v>11074</v>
      </c>
      <c r="C355" s="13" t="s">
        <v>795</v>
      </c>
      <c r="D355" s="14" t="s">
        <v>28</v>
      </c>
      <c r="E355" s="11" t="s">
        <v>29</v>
      </c>
      <c r="F355" s="12" t="s">
        <v>266</v>
      </c>
      <c r="G355" s="12"/>
      <c r="H355" s="12"/>
      <c r="I355" s="12"/>
      <c r="J355" s="12" t="s">
        <v>161</v>
      </c>
      <c r="K355" s="12" t="s">
        <v>42</v>
      </c>
      <c r="L355" s="12" t="s">
        <v>47</v>
      </c>
      <c r="M355" s="12" t="s">
        <v>95</v>
      </c>
      <c r="N355" s="12" t="s">
        <v>105</v>
      </c>
      <c r="O355" s="12" t="s">
        <v>36</v>
      </c>
      <c r="P355" s="12" t="s">
        <v>37</v>
      </c>
      <c r="Q355" s="12" t="s">
        <v>34</v>
      </c>
      <c r="R355" s="11" t="s">
        <v>796</v>
      </c>
      <c r="S355" s="11" t="s">
        <v>355</v>
      </c>
      <c r="T355" s="11" t="s">
        <v>357</v>
      </c>
      <c r="U355" s="11" t="s">
        <v>384</v>
      </c>
      <c r="V355" s="12"/>
      <c r="W355" s="12" t="s">
        <v>36</v>
      </c>
      <c r="X355" s="12" t="s">
        <v>388</v>
      </c>
      <c r="Y355" s="11" t="str">
        <f>HYPERLINK("https://www.stromypodkontrolou.cz/map/tree/d41bce85-5010-4276-b929-4760db78c679/98dd728d-53be-40bf-a27e-fa2a669ac419")</f>
        <v>https://www.stromypodkontrolou.cz/map/tree/d41bce85-5010-4276-b929-4760db78c679/98dd728d-53be-40bf-a27e-fa2a669ac419</v>
      </c>
      <c r="Z355" s="11">
        <v>-750111.79559899995</v>
      </c>
      <c r="AA355" s="11">
        <v>-1000627.575695</v>
      </c>
      <c r="AB355" s="11" t="str">
        <f>HYPERLINK("https://www.mapy.cz?st=search&amp;fr=50.45589160 14.23801638")</f>
        <v>https://www.mapy.cz?st=search&amp;fr=50.45589160 14.23801638</v>
      </c>
      <c r="AC355" s="6">
        <f>(J355-K355)*L355</f>
        <v>228</v>
      </c>
      <c r="AD355" s="6" t="s">
        <v>865</v>
      </c>
      <c r="AE355" s="37"/>
    </row>
    <row r="356" spans="1:31" ht="30.75" customHeight="1" x14ac:dyDescent="0.2">
      <c r="A356" s="26" t="s">
        <v>354</v>
      </c>
      <c r="B356" s="12">
        <v>11094</v>
      </c>
      <c r="C356" s="13" t="s">
        <v>801</v>
      </c>
      <c r="D356" s="14" t="s">
        <v>62</v>
      </c>
      <c r="E356" s="11" t="s">
        <v>63</v>
      </c>
      <c r="F356" s="12" t="s">
        <v>55</v>
      </c>
      <c r="G356" s="12" t="s">
        <v>124</v>
      </c>
      <c r="H356" s="12" t="s">
        <v>83</v>
      </c>
      <c r="I356" s="12"/>
      <c r="J356" s="12" t="s">
        <v>60</v>
      </c>
      <c r="K356" s="12" t="s">
        <v>32</v>
      </c>
      <c r="L356" s="12" t="s">
        <v>136</v>
      </c>
      <c r="M356" s="12" t="s">
        <v>37</v>
      </c>
      <c r="N356" s="12" t="s">
        <v>105</v>
      </c>
      <c r="O356" s="12" t="s">
        <v>46</v>
      </c>
      <c r="P356" s="12" t="s">
        <v>36</v>
      </c>
      <c r="Q356" s="12" t="s">
        <v>37</v>
      </c>
      <c r="R356" s="11" t="s">
        <v>155</v>
      </c>
      <c r="S356" s="11" t="s">
        <v>355</v>
      </c>
      <c r="T356" s="11" t="s">
        <v>359</v>
      </c>
      <c r="U356" s="11" t="s">
        <v>380</v>
      </c>
      <c r="V356" s="12" t="s">
        <v>95</v>
      </c>
      <c r="W356" s="12" t="s">
        <v>36</v>
      </c>
      <c r="X356" s="12" t="s">
        <v>407</v>
      </c>
      <c r="Y356" s="11" t="str">
        <f>HYPERLINK("https://www.stromypodkontrolou.cz/map/tree/d41bce85-5010-4276-b929-4760db78c679/0f9e42e3-32db-4357-bb09-7dcd32608afa")</f>
        <v>https://www.stromypodkontrolou.cz/map/tree/d41bce85-5010-4276-b929-4760db78c679/0f9e42e3-32db-4357-bb09-7dcd32608afa</v>
      </c>
      <c r="Z356" s="11">
        <v>-750122.23718699999</v>
      </c>
      <c r="AA356" s="11">
        <v>-1000305.550256</v>
      </c>
      <c r="AB356" s="11" t="str">
        <f>HYPERLINK("https://www.mapy.cz?st=search&amp;fr=50.45874570 14.23724156")</f>
        <v>https://www.mapy.cz?st=search&amp;fr=50.45874570 14.23724156</v>
      </c>
      <c r="AC356" s="6">
        <f t="shared" ref="AC356:AC364" si="77">(J356-K356)*L356</f>
        <v>98</v>
      </c>
      <c r="AD356" s="6" t="s">
        <v>869</v>
      </c>
      <c r="AE356" s="37"/>
    </row>
    <row r="357" spans="1:31" ht="29.25" customHeight="1" x14ac:dyDescent="0.2">
      <c r="A357" s="26" t="s">
        <v>354</v>
      </c>
      <c r="B357" s="12">
        <v>11099</v>
      </c>
      <c r="C357" s="13" t="s">
        <v>802</v>
      </c>
      <c r="D357" s="14" t="s">
        <v>62</v>
      </c>
      <c r="E357" s="11" t="s">
        <v>63</v>
      </c>
      <c r="F357" s="12" t="s">
        <v>142</v>
      </c>
      <c r="G357" s="12" t="s">
        <v>217</v>
      </c>
      <c r="H357" s="12" t="s">
        <v>193</v>
      </c>
      <c r="I357" s="12" t="s">
        <v>98</v>
      </c>
      <c r="J357" s="12" t="s">
        <v>112</v>
      </c>
      <c r="K357" s="12" t="s">
        <v>103</v>
      </c>
      <c r="L357" s="12" t="s">
        <v>89</v>
      </c>
      <c r="M357" s="12" t="s">
        <v>95</v>
      </c>
      <c r="N357" s="12" t="s">
        <v>105</v>
      </c>
      <c r="O357" s="12" t="s">
        <v>36</v>
      </c>
      <c r="P357" s="12" t="s">
        <v>37</v>
      </c>
      <c r="Q357" s="12" t="s">
        <v>37</v>
      </c>
      <c r="R357" s="11" t="s">
        <v>803</v>
      </c>
      <c r="S357" s="11" t="s">
        <v>355</v>
      </c>
      <c r="T357" s="11" t="s">
        <v>357</v>
      </c>
      <c r="U357" s="11" t="s">
        <v>380</v>
      </c>
      <c r="V357" s="12" t="s">
        <v>95</v>
      </c>
      <c r="W357" s="12" t="s">
        <v>36</v>
      </c>
      <c r="X357" s="12" t="s">
        <v>439</v>
      </c>
      <c r="Y357" s="11" t="str">
        <f>HYPERLINK("https://www.stromypodkontrolou.cz/map/tree/d41bce85-5010-4276-b929-4760db78c679/e753c170-1727-4610-9f49-aa4e86f8454f")</f>
        <v>https://www.stromypodkontrolou.cz/map/tree/d41bce85-5010-4276-b929-4760db78c679/e753c170-1727-4610-9f49-aa4e86f8454f</v>
      </c>
      <c r="Z357" s="11">
        <v>-750135.86884500005</v>
      </c>
      <c r="AA357" s="11">
        <v>-1000280.33795</v>
      </c>
      <c r="AB357" s="11" t="str">
        <f>HYPERLINK("https://www.mapy.cz?st=search&amp;fr=50.45895317 14.23700217")</f>
        <v>https://www.mapy.cz?st=search&amp;fr=50.45895317 14.23700217</v>
      </c>
      <c r="AC357" s="6">
        <f t="shared" si="77"/>
        <v>180</v>
      </c>
      <c r="AD357" s="6" t="s">
        <v>869</v>
      </c>
      <c r="AE357" s="37"/>
    </row>
    <row r="358" spans="1:31" ht="51" customHeight="1" x14ac:dyDescent="0.2">
      <c r="A358" s="26" t="s">
        <v>354</v>
      </c>
      <c r="B358" s="12">
        <v>11103</v>
      </c>
      <c r="C358" s="13" t="s">
        <v>806</v>
      </c>
      <c r="D358" s="14" t="s">
        <v>62</v>
      </c>
      <c r="E358" s="11" t="s">
        <v>63</v>
      </c>
      <c r="F358" s="12" t="s">
        <v>239</v>
      </c>
      <c r="G358" s="12"/>
      <c r="H358" s="12"/>
      <c r="I358" s="12"/>
      <c r="J358" s="12" t="s">
        <v>72</v>
      </c>
      <c r="K358" s="12" t="s">
        <v>103</v>
      </c>
      <c r="L358" s="12" t="s">
        <v>94</v>
      </c>
      <c r="M358" s="12" t="s">
        <v>34</v>
      </c>
      <c r="N358" s="12" t="s">
        <v>105</v>
      </c>
      <c r="O358" s="12" t="s">
        <v>46</v>
      </c>
      <c r="P358" s="12" t="s">
        <v>36</v>
      </c>
      <c r="Q358" s="12" t="s">
        <v>37</v>
      </c>
      <c r="R358" s="11" t="s">
        <v>807</v>
      </c>
      <c r="S358" s="11" t="s">
        <v>355</v>
      </c>
      <c r="T358" s="11" t="s">
        <v>359</v>
      </c>
      <c r="U358" s="11" t="s">
        <v>480</v>
      </c>
      <c r="V358" s="12" t="s">
        <v>95</v>
      </c>
      <c r="W358" s="12" t="s">
        <v>36</v>
      </c>
      <c r="X358" s="12" t="s">
        <v>422</v>
      </c>
      <c r="Y358" s="11" t="str">
        <f>HYPERLINK("https://www.stromypodkontrolou.cz/map/tree/d41bce85-5010-4276-b929-4760db78c679/d1f43a39-20ac-443e-a11b-eec6455f867c")</f>
        <v>https://www.stromypodkontrolou.cz/map/tree/d41bce85-5010-4276-b929-4760db78c679/d1f43a39-20ac-443e-a11b-eec6455f867c</v>
      </c>
      <c r="Z358" s="11">
        <v>-750139.83719300001</v>
      </c>
      <c r="AA358" s="11">
        <v>-1000176.720079</v>
      </c>
      <c r="AB358" s="11" t="str">
        <f>HYPERLINK("https://www.mapy.cz?st=search&amp;fr=50.45987077 14.23674435")</f>
        <v>https://www.mapy.cz?st=search&amp;fr=50.45987077 14.23674435</v>
      </c>
      <c r="AC358" s="6">
        <f t="shared" si="77"/>
        <v>182</v>
      </c>
      <c r="AD358" s="6" t="s">
        <v>876</v>
      </c>
      <c r="AE358" s="37"/>
    </row>
    <row r="359" spans="1:31" ht="88.5" customHeight="1" x14ac:dyDescent="0.2">
      <c r="A359" s="26" t="s">
        <v>354</v>
      </c>
      <c r="B359" s="12">
        <v>11107</v>
      </c>
      <c r="C359" s="13" t="s">
        <v>809</v>
      </c>
      <c r="D359" s="14" t="s">
        <v>28</v>
      </c>
      <c r="E359" s="11" t="s">
        <v>29</v>
      </c>
      <c r="F359" s="12" t="s">
        <v>235</v>
      </c>
      <c r="G359" s="12"/>
      <c r="H359" s="12"/>
      <c r="I359" s="12"/>
      <c r="J359" s="12" t="s">
        <v>170</v>
      </c>
      <c r="K359" s="12" t="s">
        <v>51</v>
      </c>
      <c r="L359" s="12" t="s">
        <v>49</v>
      </c>
      <c r="M359" s="12" t="s">
        <v>34</v>
      </c>
      <c r="N359" s="12" t="s">
        <v>105</v>
      </c>
      <c r="O359" s="12" t="s">
        <v>36</v>
      </c>
      <c r="P359" s="12" t="s">
        <v>36</v>
      </c>
      <c r="Q359" s="12" t="s">
        <v>36</v>
      </c>
      <c r="R359" s="11" t="s">
        <v>200</v>
      </c>
      <c r="S359" s="11" t="s">
        <v>355</v>
      </c>
      <c r="T359" s="11" t="s">
        <v>359</v>
      </c>
      <c r="U359" s="11" t="s">
        <v>380</v>
      </c>
      <c r="V359" s="12" t="s">
        <v>95</v>
      </c>
      <c r="W359" s="12" t="s">
        <v>37</v>
      </c>
      <c r="X359" s="12" t="s">
        <v>407</v>
      </c>
      <c r="Y359" s="11" t="str">
        <f>HYPERLINK("https://www.stromypodkontrolou.cz/map/tree/d41bce85-5010-4276-b929-4760db78c679/4a0a7607-40c9-430d-9f78-0f3e77c7bf26")</f>
        <v>https://www.stromypodkontrolou.cz/map/tree/d41bce85-5010-4276-b929-4760db78c679/4a0a7607-40c9-430d-9f78-0f3e77c7bf26</v>
      </c>
      <c r="Z359" s="11">
        <v>-750138.71764799999</v>
      </c>
      <c r="AA359" s="11">
        <v>-1000142.30765</v>
      </c>
      <c r="AB359" s="11" t="str">
        <f>HYPERLINK("https://www.mapy.cz?st=search&amp;fr=50.46017855 14.23669271")</f>
        <v>https://www.mapy.cz?st=search&amp;fr=50.46017855 14.23669271</v>
      </c>
      <c r="AC359" s="6">
        <f t="shared" si="77"/>
        <v>162</v>
      </c>
      <c r="AD359" s="6" t="s">
        <v>869</v>
      </c>
      <c r="AE359" s="37"/>
    </row>
    <row r="360" spans="1:31" ht="60.75" customHeight="1" x14ac:dyDescent="0.2">
      <c r="A360" s="26" t="s">
        <v>354</v>
      </c>
      <c r="B360" s="12">
        <v>11121</v>
      </c>
      <c r="C360" s="13" t="s">
        <v>810</v>
      </c>
      <c r="D360" s="14" t="s">
        <v>62</v>
      </c>
      <c r="E360" s="11" t="s">
        <v>63</v>
      </c>
      <c r="F360" s="12" t="s">
        <v>93</v>
      </c>
      <c r="G360" s="12" t="s">
        <v>238</v>
      </c>
      <c r="H360" s="12" t="s">
        <v>203</v>
      </c>
      <c r="I360" s="12" t="s">
        <v>167</v>
      </c>
      <c r="J360" s="12" t="s">
        <v>99</v>
      </c>
      <c r="K360" s="12" t="s">
        <v>43</v>
      </c>
      <c r="L360" s="12" t="s">
        <v>136</v>
      </c>
      <c r="M360" s="12" t="s">
        <v>34</v>
      </c>
      <c r="N360" s="12" t="s">
        <v>105</v>
      </c>
      <c r="O360" s="12" t="s">
        <v>46</v>
      </c>
      <c r="P360" s="12" t="s">
        <v>37</v>
      </c>
      <c r="Q360" s="12" t="s">
        <v>37</v>
      </c>
      <c r="R360" s="11" t="s">
        <v>183</v>
      </c>
      <c r="S360" s="11" t="s">
        <v>355</v>
      </c>
      <c r="T360" s="11" t="s">
        <v>811</v>
      </c>
      <c r="U360" s="11" t="s">
        <v>384</v>
      </c>
      <c r="V360" s="12"/>
      <c r="W360" s="12" t="s">
        <v>36</v>
      </c>
      <c r="X360" s="12" t="s">
        <v>388</v>
      </c>
      <c r="Y360" s="11" t="str">
        <f>HYPERLINK("https://www.stromypodkontrolou.cz/map/tree/d41bce85-5010-4276-b929-4760db78c679/42dbcedc-4220-4692-9c4e-28c30df5dc60")</f>
        <v>https://www.stromypodkontrolou.cz/map/tree/d41bce85-5010-4276-b929-4760db78c679/42dbcedc-4220-4692-9c4e-28c30df5dc60</v>
      </c>
      <c r="Z360" s="11">
        <v>-750130.40570500004</v>
      </c>
      <c r="AA360" s="11">
        <v>-1000096.365339</v>
      </c>
      <c r="AB360" s="11" t="str">
        <f>HYPERLINK("https://www.mapy.cz?st=search&amp;fr=50.46059797 14.23671887")</f>
        <v>https://www.mapy.cz?st=search&amp;fr=50.46059797 14.23671887</v>
      </c>
      <c r="AC360" s="6">
        <f t="shared" si="77"/>
        <v>126</v>
      </c>
      <c r="AD360" s="6" t="s">
        <v>865</v>
      </c>
      <c r="AE360" s="37"/>
    </row>
    <row r="361" spans="1:31" ht="39" customHeight="1" x14ac:dyDescent="0.2">
      <c r="A361" s="26" t="s">
        <v>354</v>
      </c>
      <c r="B361" s="12">
        <v>11124</v>
      </c>
      <c r="C361" s="13" t="s">
        <v>812</v>
      </c>
      <c r="D361" s="14" t="s">
        <v>62</v>
      </c>
      <c r="E361" s="11" t="s">
        <v>63</v>
      </c>
      <c r="F361" s="12"/>
      <c r="G361" s="12" t="s">
        <v>120</v>
      </c>
      <c r="H361" s="12"/>
      <c r="I361" s="12"/>
      <c r="J361" s="12" t="s">
        <v>112</v>
      </c>
      <c r="K361" s="12" t="s">
        <v>43</v>
      </c>
      <c r="L361" s="12" t="s">
        <v>118</v>
      </c>
      <c r="M361" s="12" t="s">
        <v>34</v>
      </c>
      <c r="N361" s="12" t="s">
        <v>105</v>
      </c>
      <c r="O361" s="12" t="s">
        <v>46</v>
      </c>
      <c r="P361" s="12" t="s">
        <v>37</v>
      </c>
      <c r="Q361" s="12" t="s">
        <v>34</v>
      </c>
      <c r="R361" s="11" t="s">
        <v>159</v>
      </c>
      <c r="S361" s="11" t="s">
        <v>355</v>
      </c>
      <c r="T361" s="11" t="s">
        <v>359</v>
      </c>
      <c r="U361" s="11" t="s">
        <v>384</v>
      </c>
      <c r="V361" s="12"/>
      <c r="W361" s="12" t="s">
        <v>37</v>
      </c>
      <c r="X361" s="12"/>
      <c r="Y361" s="11" t="str">
        <f>HYPERLINK("https://www.stromypodkontrolou.cz/map/tree/d41bce85-5010-4276-b929-4760db78c679/5db669c5-6041-4b92-91aa-fe987b8fb6dd")</f>
        <v>https://www.stromypodkontrolou.cz/map/tree/d41bce85-5010-4276-b929-4760db78c679/5db669c5-6041-4b92-91aa-fe987b8fb6dd</v>
      </c>
      <c r="Z361" s="11">
        <v>-750114.61136500002</v>
      </c>
      <c r="AA361" s="11">
        <v>-1000029.273151</v>
      </c>
      <c r="AB361" s="11" t="str">
        <f>HYPERLINK("https://www.mapy.cz?st=search&amp;fr=50.46121502 14.23680805")</f>
        <v>https://www.mapy.cz?st=search&amp;fr=50.46121502 14.23680805</v>
      </c>
      <c r="AC361" s="6">
        <f t="shared" si="77"/>
        <v>180</v>
      </c>
      <c r="AD361" s="6" t="s">
        <v>865</v>
      </c>
      <c r="AE361" s="37"/>
    </row>
    <row r="362" spans="1:31" ht="44.25" customHeight="1" x14ac:dyDescent="0.2">
      <c r="A362" s="26" t="s">
        <v>354</v>
      </c>
      <c r="B362" s="12">
        <v>11174</v>
      </c>
      <c r="C362" s="13" t="s">
        <v>813</v>
      </c>
      <c r="D362" s="14" t="s">
        <v>96</v>
      </c>
      <c r="E362" s="11" t="s">
        <v>97</v>
      </c>
      <c r="F362" s="12" t="s">
        <v>219</v>
      </c>
      <c r="G362" s="12" t="s">
        <v>71</v>
      </c>
      <c r="H362" s="12"/>
      <c r="I362" s="12"/>
      <c r="J362" s="12" t="s">
        <v>75</v>
      </c>
      <c r="K362" s="12" t="s">
        <v>61</v>
      </c>
      <c r="L362" s="12" t="s">
        <v>47</v>
      </c>
      <c r="M362" s="12" t="s">
        <v>34</v>
      </c>
      <c r="N362" s="12" t="s">
        <v>45</v>
      </c>
      <c r="O362" s="12" t="s">
        <v>46</v>
      </c>
      <c r="P362" s="12" t="s">
        <v>36</v>
      </c>
      <c r="Q362" s="12" t="s">
        <v>37</v>
      </c>
      <c r="R362" s="11" t="s">
        <v>171</v>
      </c>
      <c r="S362" s="11" t="s">
        <v>355</v>
      </c>
      <c r="T362" s="11" t="s">
        <v>356</v>
      </c>
      <c r="U362" s="11" t="s">
        <v>380</v>
      </c>
      <c r="V362" s="12" t="s">
        <v>95</v>
      </c>
      <c r="W362" s="12" t="s">
        <v>36</v>
      </c>
      <c r="X362" s="12" t="s">
        <v>379</v>
      </c>
      <c r="Y362" s="11" t="str">
        <f>HYPERLINK("https://www.stromypodkontrolou.cz/map/tree/d41bce85-5010-4276-b929-4760db78c679/30f6a721-329d-4c5d-88f6-21ea1f821a90")</f>
        <v>https://www.stromypodkontrolou.cz/map/tree/d41bce85-5010-4276-b929-4760db78c679/30f6a721-329d-4c5d-88f6-21ea1f821a90</v>
      </c>
      <c r="Z362" s="11">
        <v>-750244.74773299997</v>
      </c>
      <c r="AA362" s="11">
        <v>-1000812.9336850001</v>
      </c>
      <c r="AB362" s="11" t="str">
        <f>HYPERLINK("https://www.mapy.cz?st=search&amp;fr=50.45407544 14.23652441")</f>
        <v>https://www.mapy.cz?st=search&amp;fr=50.45407544 14.23652441</v>
      </c>
      <c r="AC362" s="6">
        <f t="shared" si="77"/>
        <v>168</v>
      </c>
      <c r="AD362" s="6" t="s">
        <v>869</v>
      </c>
      <c r="AE362" s="37"/>
    </row>
    <row r="363" spans="1:31" ht="51.75" customHeight="1" x14ac:dyDescent="0.2">
      <c r="A363" s="26" t="s">
        <v>354</v>
      </c>
      <c r="B363" s="12">
        <v>11189</v>
      </c>
      <c r="C363" s="13" t="s">
        <v>816</v>
      </c>
      <c r="D363" s="14" t="s">
        <v>28</v>
      </c>
      <c r="E363" s="11" t="s">
        <v>29</v>
      </c>
      <c r="F363" s="12" t="s">
        <v>188</v>
      </c>
      <c r="G363" s="12" t="s">
        <v>207</v>
      </c>
      <c r="H363" s="12"/>
      <c r="I363" s="12"/>
      <c r="J363" s="12" t="s">
        <v>170</v>
      </c>
      <c r="K363" s="12" t="s">
        <v>144</v>
      </c>
      <c r="L363" s="12" t="s">
        <v>49</v>
      </c>
      <c r="M363" s="12" t="s">
        <v>34</v>
      </c>
      <c r="N363" s="12" t="s">
        <v>45</v>
      </c>
      <c r="O363" s="12" t="s">
        <v>37</v>
      </c>
      <c r="P363" s="12" t="s">
        <v>36</v>
      </c>
      <c r="Q363" s="12" t="s">
        <v>37</v>
      </c>
      <c r="R363" s="11" t="s">
        <v>114</v>
      </c>
      <c r="S363" s="11" t="s">
        <v>355</v>
      </c>
      <c r="T363" s="11" t="s">
        <v>357</v>
      </c>
      <c r="U363" s="11" t="s">
        <v>380</v>
      </c>
      <c r="V363" s="12"/>
      <c r="W363" s="12" t="s">
        <v>36</v>
      </c>
      <c r="X363" s="12" t="s">
        <v>817</v>
      </c>
      <c r="Y363" s="11" t="str">
        <f>HYPERLINK("https://www.stromypodkontrolou.cz/map/tree/d41bce85-5010-4276-b929-4760db78c679/8bd1bac6-3c14-4f51-b073-a71fb3735c78")</f>
        <v>https://www.stromypodkontrolou.cz/map/tree/d41bce85-5010-4276-b929-4760db78c679/8bd1bac6-3c14-4f51-b073-a71fb3735c78</v>
      </c>
      <c r="Z363" s="11">
        <v>-750245.47995199997</v>
      </c>
      <c r="AA363" s="11">
        <v>-1000859.512832</v>
      </c>
      <c r="AB363" s="11" t="str">
        <f>HYPERLINK("https://www.mapy.cz?st=search&amp;fr=50.45365981 14.23660521")</f>
        <v>https://www.mapy.cz?st=search&amp;fr=50.45365981 14.23660521</v>
      </c>
      <c r="AC363" s="6">
        <f t="shared" si="77"/>
        <v>171</v>
      </c>
      <c r="AD363" s="6" t="s">
        <v>869</v>
      </c>
      <c r="AE363" s="37"/>
    </row>
    <row r="364" spans="1:31" ht="57" customHeight="1" thickBot="1" x14ac:dyDescent="0.25">
      <c r="A364" s="27" t="s">
        <v>367</v>
      </c>
      <c r="B364" s="28">
        <v>15921</v>
      </c>
      <c r="C364" s="29" t="s">
        <v>848</v>
      </c>
      <c r="D364" s="30" t="s">
        <v>28</v>
      </c>
      <c r="E364" s="31" t="s">
        <v>29</v>
      </c>
      <c r="F364" s="28" t="s">
        <v>849</v>
      </c>
      <c r="G364" s="28"/>
      <c r="H364" s="28"/>
      <c r="I364" s="28"/>
      <c r="J364" s="28" t="s">
        <v>221</v>
      </c>
      <c r="K364" s="28" t="s">
        <v>51</v>
      </c>
      <c r="L364" s="28" t="s">
        <v>47</v>
      </c>
      <c r="M364" s="28" t="s">
        <v>34</v>
      </c>
      <c r="N364" s="28" t="s">
        <v>105</v>
      </c>
      <c r="O364" s="28" t="s">
        <v>46</v>
      </c>
      <c r="P364" s="28" t="s">
        <v>36</v>
      </c>
      <c r="Q364" s="28" t="s">
        <v>36</v>
      </c>
      <c r="R364" s="31" t="s">
        <v>183</v>
      </c>
      <c r="S364" s="31" t="s">
        <v>355</v>
      </c>
      <c r="T364" s="31" t="s">
        <v>357</v>
      </c>
      <c r="U364" s="31" t="s">
        <v>384</v>
      </c>
      <c r="V364" s="28" t="s">
        <v>95</v>
      </c>
      <c r="W364" s="28" t="s">
        <v>36</v>
      </c>
      <c r="X364" s="28" t="s">
        <v>388</v>
      </c>
      <c r="Y364" s="31" t="str">
        <f>HYPERLINK("https://www.stromypodkontrolou.cz/map/tree/d41bce85-5010-4276-b929-4760db78c679/71cb0de1-474e-4682-b0bf-af318143690a")</f>
        <v>https://www.stromypodkontrolou.cz/map/tree/d41bce85-5010-4276-b929-4760db78c679/71cb0de1-474e-4682-b0bf-af318143690a</v>
      </c>
      <c r="Z364" s="31">
        <v>-750124.51524500002</v>
      </c>
      <c r="AA364" s="31">
        <v>-1000774.658953</v>
      </c>
      <c r="AB364" s="31" t="str">
        <f>HYPERLINK("https://www.mapy.cz?st=search&amp;fr=50.45456619 14.23812635")</f>
        <v>https://www.mapy.cz?st=search&amp;fr=50.45456619 14.23812635</v>
      </c>
      <c r="AC364" s="32">
        <f t="shared" si="77"/>
        <v>264</v>
      </c>
      <c r="AD364" s="32" t="s">
        <v>879</v>
      </c>
      <c r="AE364" s="40"/>
    </row>
    <row r="365" spans="1:31" x14ac:dyDescent="0.2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8" t="s">
        <v>881</v>
      </c>
      <c r="AC365" s="19"/>
      <c r="AD365" s="19"/>
      <c r="AE365" s="20">
        <f>SUM(AE2:AE364)</f>
        <v>0</v>
      </c>
    </row>
    <row r="366" spans="1:31" ht="15" customHeight="1" thickBot="1" x14ac:dyDescent="0.25">
      <c r="A366" s="35" t="s">
        <v>884</v>
      </c>
      <c r="B366" s="33"/>
      <c r="C366" s="33"/>
      <c r="D366" s="33"/>
      <c r="E366" s="33"/>
      <c r="AB366" s="41" t="s">
        <v>883</v>
      </c>
      <c r="AC366" s="42"/>
      <c r="AD366" s="15" t="s">
        <v>864</v>
      </c>
      <c r="AE366" s="36"/>
    </row>
    <row r="367" spans="1:31" ht="15" customHeight="1" thickBot="1" x14ac:dyDescent="0.25">
      <c r="A367" s="34"/>
      <c r="B367" s="35" t="s">
        <v>885</v>
      </c>
      <c r="C367" s="33"/>
      <c r="D367" s="33"/>
      <c r="E367" s="33"/>
      <c r="AB367" s="43" t="s">
        <v>882</v>
      </c>
      <c r="AC367" s="44"/>
      <c r="AD367" s="44"/>
      <c r="AE367" s="16">
        <f>SUM(AE365:AE366)</f>
        <v>0</v>
      </c>
    </row>
  </sheetData>
  <sheetProtection algorithmName="SHA-512" hashValue="tNjaJw6S84hOVSgoLIJ5SXuw9c9bBGaJ33qhYYLk1deIZR7mkhdZEj9Zs9H2Wkipp4gh0A62WBzAciUVvYXVhg==" saltValue="8KQ9qQoTcQL5gk25WDVZ6w==" spinCount="100000" sheet="1" objects="1" scenarios="1"/>
  <mergeCells count="1394">
    <mergeCell ref="AB24:AB25"/>
    <mergeCell ref="O24:O25"/>
    <mergeCell ref="P24:P25"/>
    <mergeCell ref="AB35:AB36"/>
    <mergeCell ref="A42:A43"/>
    <mergeCell ref="E42:E43"/>
    <mergeCell ref="O35:O36"/>
    <mergeCell ref="P35:P36"/>
    <mergeCell ref="Q35:Q36"/>
    <mergeCell ref="A24:A25"/>
    <mergeCell ref="B24:B25"/>
    <mergeCell ref="C24:C25"/>
    <mergeCell ref="Y24:Y25"/>
    <mergeCell ref="Z24:Z25"/>
    <mergeCell ref="AA24:AA25"/>
    <mergeCell ref="Q24:Q25"/>
    <mergeCell ref="R24:R25"/>
    <mergeCell ref="S24:S25"/>
    <mergeCell ref="T24:T25"/>
    <mergeCell ref="I24:I25"/>
    <mergeCell ref="J24:J25"/>
    <mergeCell ref="K24:K25"/>
    <mergeCell ref="L24:L25"/>
    <mergeCell ref="M24:M25"/>
    <mergeCell ref="N24:N25"/>
    <mergeCell ref="D24:D25"/>
    <mergeCell ref="E24:E25"/>
    <mergeCell ref="F24:F25"/>
    <mergeCell ref="G24:G25"/>
    <mergeCell ref="H24:H25"/>
    <mergeCell ref="R35:R36"/>
    <mergeCell ref="S35:S36"/>
    <mergeCell ref="T35:T36"/>
    <mergeCell ref="I35:I36"/>
    <mergeCell ref="J35:J36"/>
    <mergeCell ref="K35:K36"/>
    <mergeCell ref="L35:L36"/>
    <mergeCell ref="M35:M36"/>
    <mergeCell ref="N35:N36"/>
    <mergeCell ref="AB42:AB43"/>
    <mergeCell ref="A35:A36"/>
    <mergeCell ref="B35:B36"/>
    <mergeCell ref="C35:C36"/>
    <mergeCell ref="D35:D36"/>
    <mergeCell ref="E35:E36"/>
    <mergeCell ref="F35:F36"/>
    <mergeCell ref="G35:G36"/>
    <mergeCell ref="H35:H36"/>
    <mergeCell ref="Y35:Y36"/>
    <mergeCell ref="Z35:Z36"/>
    <mergeCell ref="AA35:AA36"/>
    <mergeCell ref="R42:R43"/>
    <mergeCell ref="S42:S43"/>
    <mergeCell ref="T42:T43"/>
    <mergeCell ref="Y42:Y43"/>
    <mergeCell ref="Z42:Z43"/>
    <mergeCell ref="AA42:AA43"/>
    <mergeCell ref="L42:L43"/>
    <mergeCell ref="M42:M43"/>
    <mergeCell ref="N42:N43"/>
    <mergeCell ref="O42:O43"/>
    <mergeCell ref="P42:P43"/>
    <mergeCell ref="Q42:Q43"/>
    <mergeCell ref="F42:F43"/>
    <mergeCell ref="G42:G43"/>
    <mergeCell ref="H42:H43"/>
    <mergeCell ref="I42:I43"/>
    <mergeCell ref="J42:J43"/>
    <mergeCell ref="K42:K43"/>
    <mergeCell ref="B42:B43"/>
    <mergeCell ref="C42:C43"/>
    <mergeCell ref="D42:D43"/>
    <mergeCell ref="A46:A47"/>
    <mergeCell ref="B46:B47"/>
    <mergeCell ref="C46:C47"/>
    <mergeCell ref="D46:D47"/>
    <mergeCell ref="E46:E47"/>
    <mergeCell ref="AB46:AB47"/>
    <mergeCell ref="R46:R47"/>
    <mergeCell ref="S46:S47"/>
    <mergeCell ref="T46:T47"/>
    <mergeCell ref="Y46:Y47"/>
    <mergeCell ref="Z46:Z47"/>
    <mergeCell ref="AA46:AA47"/>
    <mergeCell ref="L46:L47"/>
    <mergeCell ref="M46:M47"/>
    <mergeCell ref="N46:N47"/>
    <mergeCell ref="O46:O47"/>
    <mergeCell ref="P46:P47"/>
    <mergeCell ref="Q46:Q47"/>
    <mergeCell ref="F46:F47"/>
    <mergeCell ref="G46:G47"/>
    <mergeCell ref="H46:H47"/>
    <mergeCell ref="I46:I47"/>
    <mergeCell ref="J46:J47"/>
    <mergeCell ref="K46:K47"/>
    <mergeCell ref="G55:G56"/>
    <mergeCell ref="H55:H56"/>
    <mergeCell ref="Y55:Y56"/>
    <mergeCell ref="Z55:Z56"/>
    <mergeCell ref="AA55:AA56"/>
    <mergeCell ref="A49:A50"/>
    <mergeCell ref="B49:B50"/>
    <mergeCell ref="C49:C50"/>
    <mergeCell ref="D49:D50"/>
    <mergeCell ref="E49:E50"/>
    <mergeCell ref="AB49:AB50"/>
    <mergeCell ref="R49:R50"/>
    <mergeCell ref="S49:S50"/>
    <mergeCell ref="T49:T50"/>
    <mergeCell ref="Y49:Y50"/>
    <mergeCell ref="Z49:Z50"/>
    <mergeCell ref="AA49:AA50"/>
    <mergeCell ref="L49:L50"/>
    <mergeCell ref="M49:M50"/>
    <mergeCell ref="N49:N50"/>
    <mergeCell ref="O49:O50"/>
    <mergeCell ref="P49:P50"/>
    <mergeCell ref="Q49:Q50"/>
    <mergeCell ref="F49:F50"/>
    <mergeCell ref="G49:G50"/>
    <mergeCell ref="H49:H50"/>
    <mergeCell ref="I49:I50"/>
    <mergeCell ref="J49:J50"/>
    <mergeCell ref="K49:K50"/>
    <mergeCell ref="A63:A64"/>
    <mergeCell ref="B63:B64"/>
    <mergeCell ref="C63:C64"/>
    <mergeCell ref="D63:D64"/>
    <mergeCell ref="E63:E64"/>
    <mergeCell ref="F63:F64"/>
    <mergeCell ref="G63:G64"/>
    <mergeCell ref="H63:H64"/>
    <mergeCell ref="Y63:Y64"/>
    <mergeCell ref="Z63:Z64"/>
    <mergeCell ref="AA63:AA64"/>
    <mergeCell ref="R65:R66"/>
    <mergeCell ref="S65:S66"/>
    <mergeCell ref="AB55:AB56"/>
    <mergeCell ref="O55:O56"/>
    <mergeCell ref="P55:P56"/>
    <mergeCell ref="Q55:Q56"/>
    <mergeCell ref="R55:R56"/>
    <mergeCell ref="S55:S56"/>
    <mergeCell ref="T55:T56"/>
    <mergeCell ref="I55:I56"/>
    <mergeCell ref="J55:J56"/>
    <mergeCell ref="K55:K56"/>
    <mergeCell ref="L55:L56"/>
    <mergeCell ref="M55:M56"/>
    <mergeCell ref="N55:N56"/>
    <mergeCell ref="A55:A56"/>
    <mergeCell ref="B55:B56"/>
    <mergeCell ref="C55:C56"/>
    <mergeCell ref="D55:D56"/>
    <mergeCell ref="E55:E56"/>
    <mergeCell ref="F55:F56"/>
    <mergeCell ref="AB67:AB68"/>
    <mergeCell ref="O67:O68"/>
    <mergeCell ref="P67:P68"/>
    <mergeCell ref="Q67:Q68"/>
    <mergeCell ref="R67:R68"/>
    <mergeCell ref="S67:S68"/>
    <mergeCell ref="T67:T68"/>
    <mergeCell ref="I67:I68"/>
    <mergeCell ref="J67:J68"/>
    <mergeCell ref="K67:K68"/>
    <mergeCell ref="L67:L68"/>
    <mergeCell ref="M67:M68"/>
    <mergeCell ref="N67:N68"/>
    <mergeCell ref="AB63:AB64"/>
    <mergeCell ref="A65:A66"/>
    <mergeCell ref="B65:B66"/>
    <mergeCell ref="C65:C66"/>
    <mergeCell ref="D65:D66"/>
    <mergeCell ref="E65:E66"/>
    <mergeCell ref="O63:O64"/>
    <mergeCell ref="P63:P64"/>
    <mergeCell ref="Q63:Q64"/>
    <mergeCell ref="R63:R64"/>
    <mergeCell ref="S63:S64"/>
    <mergeCell ref="T63:T64"/>
    <mergeCell ref="I63:I64"/>
    <mergeCell ref="J63:J64"/>
    <mergeCell ref="K63:K64"/>
    <mergeCell ref="L63:L64"/>
    <mergeCell ref="M63:M64"/>
    <mergeCell ref="N63:N64"/>
    <mergeCell ref="AB65:AB66"/>
    <mergeCell ref="F79:F80"/>
    <mergeCell ref="G79:G80"/>
    <mergeCell ref="H79:H80"/>
    <mergeCell ref="T65:T66"/>
    <mergeCell ref="Y65:Y66"/>
    <mergeCell ref="Z65:Z66"/>
    <mergeCell ref="AA65:AA66"/>
    <mergeCell ref="L65:L66"/>
    <mergeCell ref="M65:M66"/>
    <mergeCell ref="N65:N66"/>
    <mergeCell ref="O65:O66"/>
    <mergeCell ref="P65:P66"/>
    <mergeCell ref="Q65:Q66"/>
    <mergeCell ref="F65:F66"/>
    <mergeCell ref="G65:G66"/>
    <mergeCell ref="H65:H66"/>
    <mergeCell ref="I65:I66"/>
    <mergeCell ref="J65:J66"/>
    <mergeCell ref="K65:K66"/>
    <mergeCell ref="A84:A85"/>
    <mergeCell ref="B84:B85"/>
    <mergeCell ref="C84:C85"/>
    <mergeCell ref="D84:D85"/>
    <mergeCell ref="E84:E85"/>
    <mergeCell ref="F84:F85"/>
    <mergeCell ref="G84:G85"/>
    <mergeCell ref="H84:H85"/>
    <mergeCell ref="Y84:Y85"/>
    <mergeCell ref="Z84:Z85"/>
    <mergeCell ref="AA84:AA85"/>
    <mergeCell ref="A67:A68"/>
    <mergeCell ref="B67:B68"/>
    <mergeCell ref="C67:C68"/>
    <mergeCell ref="D67:D68"/>
    <mergeCell ref="E67:E68"/>
    <mergeCell ref="F67:F68"/>
    <mergeCell ref="G67:G68"/>
    <mergeCell ref="H67:H68"/>
    <mergeCell ref="Y67:Y68"/>
    <mergeCell ref="Z67:Z68"/>
    <mergeCell ref="AA67:AA68"/>
    <mergeCell ref="A79:A80"/>
    <mergeCell ref="B79:B80"/>
    <mergeCell ref="C79:C80"/>
    <mergeCell ref="D79:D80"/>
    <mergeCell ref="E79:E80"/>
    <mergeCell ref="R79:R80"/>
    <mergeCell ref="S79:S80"/>
    <mergeCell ref="T79:T80"/>
    <mergeCell ref="Y79:Y80"/>
    <mergeCell ref="Z79:Z80"/>
    <mergeCell ref="I92:I93"/>
    <mergeCell ref="J92:J93"/>
    <mergeCell ref="K92:K93"/>
    <mergeCell ref="I79:I80"/>
    <mergeCell ref="J79:J80"/>
    <mergeCell ref="K79:K80"/>
    <mergeCell ref="AB84:AB85"/>
    <mergeCell ref="O84:O85"/>
    <mergeCell ref="P84:P85"/>
    <mergeCell ref="Q84:Q85"/>
    <mergeCell ref="R84:R85"/>
    <mergeCell ref="S84:S85"/>
    <mergeCell ref="T84:T85"/>
    <mergeCell ref="I84:I85"/>
    <mergeCell ref="J84:J85"/>
    <mergeCell ref="K84:K85"/>
    <mergeCell ref="L84:L85"/>
    <mergeCell ref="M84:M85"/>
    <mergeCell ref="N84:N85"/>
    <mergeCell ref="AB79:AB80"/>
    <mergeCell ref="AA79:AA80"/>
    <mergeCell ref="L79:L80"/>
    <mergeCell ref="M79:M80"/>
    <mergeCell ref="N79:N80"/>
    <mergeCell ref="O79:O80"/>
    <mergeCell ref="P79:P80"/>
    <mergeCell ref="Q79:Q80"/>
    <mergeCell ref="A94:A95"/>
    <mergeCell ref="B94:B95"/>
    <mergeCell ref="C94:C95"/>
    <mergeCell ref="D94:D95"/>
    <mergeCell ref="E94:E95"/>
    <mergeCell ref="F94:F95"/>
    <mergeCell ref="G94:G95"/>
    <mergeCell ref="H94:H95"/>
    <mergeCell ref="Y94:Y95"/>
    <mergeCell ref="Z94:Z95"/>
    <mergeCell ref="AA94:AA95"/>
    <mergeCell ref="A92:A93"/>
    <mergeCell ref="B92:B93"/>
    <mergeCell ref="C92:C93"/>
    <mergeCell ref="D92:D93"/>
    <mergeCell ref="E92:E93"/>
    <mergeCell ref="AB92:AB93"/>
    <mergeCell ref="R92:R93"/>
    <mergeCell ref="S92:S93"/>
    <mergeCell ref="T92:T93"/>
    <mergeCell ref="Y92:Y93"/>
    <mergeCell ref="Z92:Z93"/>
    <mergeCell ref="AA92:AA93"/>
    <mergeCell ref="L92:L93"/>
    <mergeCell ref="M92:M93"/>
    <mergeCell ref="N92:N93"/>
    <mergeCell ref="O92:O93"/>
    <mergeCell ref="P92:P93"/>
    <mergeCell ref="Q92:Q93"/>
    <mergeCell ref="F92:F93"/>
    <mergeCell ref="G92:G93"/>
    <mergeCell ref="H92:H93"/>
    <mergeCell ref="E96:E97"/>
    <mergeCell ref="F96:F97"/>
    <mergeCell ref="G96:G97"/>
    <mergeCell ref="H96:H97"/>
    <mergeCell ref="Y96:Y97"/>
    <mergeCell ref="Z96:Z97"/>
    <mergeCell ref="AA96:AA97"/>
    <mergeCell ref="AB94:AB95"/>
    <mergeCell ref="O94:O95"/>
    <mergeCell ref="P94:P95"/>
    <mergeCell ref="Q94:Q95"/>
    <mergeCell ref="R94:R95"/>
    <mergeCell ref="S94:S95"/>
    <mergeCell ref="T94:T95"/>
    <mergeCell ref="I94:I95"/>
    <mergeCell ref="J94:J95"/>
    <mergeCell ref="K94:K95"/>
    <mergeCell ref="L94:L95"/>
    <mergeCell ref="M94:M95"/>
    <mergeCell ref="N94:N95"/>
    <mergeCell ref="N100:N101"/>
    <mergeCell ref="AB103:AB104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Y100:Y101"/>
    <mergeCell ref="Z100:Z101"/>
    <mergeCell ref="AA100:AA101"/>
    <mergeCell ref="R103:R104"/>
    <mergeCell ref="S103:S104"/>
    <mergeCell ref="AB96:AB97"/>
    <mergeCell ref="O96:O97"/>
    <mergeCell ref="P96:P97"/>
    <mergeCell ref="Q96:Q97"/>
    <mergeCell ref="R96:R97"/>
    <mergeCell ref="S96:S97"/>
    <mergeCell ref="T96:T97"/>
    <mergeCell ref="I96:I97"/>
    <mergeCell ref="J96:J97"/>
    <mergeCell ref="K96:K97"/>
    <mergeCell ref="L96:L97"/>
    <mergeCell ref="M96:M97"/>
    <mergeCell ref="N96:N97"/>
    <mergeCell ref="A96:A97"/>
    <mergeCell ref="B96:B97"/>
    <mergeCell ref="C96:C97"/>
    <mergeCell ref="D96:D97"/>
    <mergeCell ref="Z103:Z104"/>
    <mergeCell ref="AA103:AA104"/>
    <mergeCell ref="L103:L104"/>
    <mergeCell ref="M103:M104"/>
    <mergeCell ref="N103:N104"/>
    <mergeCell ref="O103:O104"/>
    <mergeCell ref="P103:P104"/>
    <mergeCell ref="Q103:Q104"/>
    <mergeCell ref="F103:F104"/>
    <mergeCell ref="G103:G104"/>
    <mergeCell ref="H103:H104"/>
    <mergeCell ref="I103:I104"/>
    <mergeCell ref="J103:J104"/>
    <mergeCell ref="K103:K104"/>
    <mergeCell ref="AB113:AB114"/>
    <mergeCell ref="AB100:AB101"/>
    <mergeCell ref="A103:A104"/>
    <mergeCell ref="B103:B104"/>
    <mergeCell ref="C103:C104"/>
    <mergeCell ref="D103:D104"/>
    <mergeCell ref="E103:E104"/>
    <mergeCell ref="O100:O101"/>
    <mergeCell ref="P100:P101"/>
    <mergeCell ref="Q100:Q101"/>
    <mergeCell ref="R100:R101"/>
    <mergeCell ref="S100:S101"/>
    <mergeCell ref="T100:T101"/>
    <mergeCell ref="I100:I101"/>
    <mergeCell ref="J100:J101"/>
    <mergeCell ref="K100:K101"/>
    <mergeCell ref="L100:L101"/>
    <mergeCell ref="M100:M101"/>
    <mergeCell ref="C116:C117"/>
    <mergeCell ref="D116:D117"/>
    <mergeCell ref="E116:E117"/>
    <mergeCell ref="O113:O114"/>
    <mergeCell ref="P113:P114"/>
    <mergeCell ref="Q113:Q114"/>
    <mergeCell ref="R113:R114"/>
    <mergeCell ref="S113:S114"/>
    <mergeCell ref="T113:T114"/>
    <mergeCell ref="I113:I114"/>
    <mergeCell ref="J113:J114"/>
    <mergeCell ref="K113:K114"/>
    <mergeCell ref="L113:L114"/>
    <mergeCell ref="M113:M114"/>
    <mergeCell ref="N113:N114"/>
    <mergeCell ref="T103:T104"/>
    <mergeCell ref="Y103:Y104"/>
    <mergeCell ref="AB116:AB117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Y113:Y114"/>
    <mergeCell ref="Z113:Z114"/>
    <mergeCell ref="AA113:AA114"/>
    <mergeCell ref="R116:R117"/>
    <mergeCell ref="S116:S117"/>
    <mergeCell ref="T116:T117"/>
    <mergeCell ref="Y116:Y117"/>
    <mergeCell ref="Z116:Z117"/>
    <mergeCell ref="AA116:AA117"/>
    <mergeCell ref="L116:L117"/>
    <mergeCell ref="M116:M117"/>
    <mergeCell ref="N116:N117"/>
    <mergeCell ref="O116:O117"/>
    <mergeCell ref="P116:P117"/>
    <mergeCell ref="Q116:Q117"/>
    <mergeCell ref="F116:F117"/>
    <mergeCell ref="G116:G117"/>
    <mergeCell ref="H116:H117"/>
    <mergeCell ref="I116:I117"/>
    <mergeCell ref="J116:J117"/>
    <mergeCell ref="K116:K117"/>
    <mergeCell ref="A116:A117"/>
    <mergeCell ref="B116:B117"/>
    <mergeCell ref="AB125:AB126"/>
    <mergeCell ref="A127:A128"/>
    <mergeCell ref="B127:B128"/>
    <mergeCell ref="C127:C128"/>
    <mergeCell ref="D127:D128"/>
    <mergeCell ref="E127:E128"/>
    <mergeCell ref="O125:O126"/>
    <mergeCell ref="P125:P126"/>
    <mergeCell ref="Q125:Q126"/>
    <mergeCell ref="R125:R126"/>
    <mergeCell ref="S125:S126"/>
    <mergeCell ref="T125:T126"/>
    <mergeCell ref="I125:I126"/>
    <mergeCell ref="J125:J126"/>
    <mergeCell ref="K125:K126"/>
    <mergeCell ref="L125:L126"/>
    <mergeCell ref="M125:M126"/>
    <mergeCell ref="N125:N126"/>
    <mergeCell ref="AB127:AB128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Y125:Y126"/>
    <mergeCell ref="Z125:Z126"/>
    <mergeCell ref="AA125:AA126"/>
    <mergeCell ref="R127:R128"/>
    <mergeCell ref="S127:S128"/>
    <mergeCell ref="T127:T128"/>
    <mergeCell ref="Y127:Y128"/>
    <mergeCell ref="Z127:Z128"/>
    <mergeCell ref="AA127:AA128"/>
    <mergeCell ref="L127:L128"/>
    <mergeCell ref="M127:M128"/>
    <mergeCell ref="N127:N128"/>
    <mergeCell ref="O127:O128"/>
    <mergeCell ref="P127:P128"/>
    <mergeCell ref="Q127:Q128"/>
    <mergeCell ref="F127:F128"/>
    <mergeCell ref="G127:G128"/>
    <mergeCell ref="H127:H128"/>
    <mergeCell ref="I127:I128"/>
    <mergeCell ref="J127:J128"/>
    <mergeCell ref="K127:K128"/>
    <mergeCell ref="A131:A133"/>
    <mergeCell ref="B131:B133"/>
    <mergeCell ref="C131:C133"/>
    <mergeCell ref="D131:D133"/>
    <mergeCell ref="E131:E133"/>
    <mergeCell ref="AB131:AB133"/>
    <mergeCell ref="R131:R133"/>
    <mergeCell ref="S131:S133"/>
    <mergeCell ref="T131:T133"/>
    <mergeCell ref="Y131:Y133"/>
    <mergeCell ref="Z131:Z133"/>
    <mergeCell ref="AA131:AA133"/>
    <mergeCell ref="L131:L133"/>
    <mergeCell ref="M131:M133"/>
    <mergeCell ref="N131:N133"/>
    <mergeCell ref="O131:O133"/>
    <mergeCell ref="P131:P133"/>
    <mergeCell ref="Q131:Q133"/>
    <mergeCell ref="F131:F133"/>
    <mergeCell ref="G131:G133"/>
    <mergeCell ref="H131:H133"/>
    <mergeCell ref="I131:I133"/>
    <mergeCell ref="J131:J133"/>
    <mergeCell ref="K131:K133"/>
    <mergeCell ref="AB138:AB139"/>
    <mergeCell ref="O138:O139"/>
    <mergeCell ref="P138:P139"/>
    <mergeCell ref="Q138:Q139"/>
    <mergeCell ref="R138:R139"/>
    <mergeCell ref="S138:S139"/>
    <mergeCell ref="T138:T139"/>
    <mergeCell ref="I138:I139"/>
    <mergeCell ref="J138:J139"/>
    <mergeCell ref="K138:K139"/>
    <mergeCell ref="L138:L139"/>
    <mergeCell ref="M138:M139"/>
    <mergeCell ref="N138:N139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Y138:Y139"/>
    <mergeCell ref="Z138:Z139"/>
    <mergeCell ref="AA138:AA139"/>
    <mergeCell ref="AB150:AB151"/>
    <mergeCell ref="A152:A153"/>
    <mergeCell ref="B152:B153"/>
    <mergeCell ref="C152:C153"/>
    <mergeCell ref="D152:D153"/>
    <mergeCell ref="E152:E153"/>
    <mergeCell ref="O150:O151"/>
    <mergeCell ref="P150:P151"/>
    <mergeCell ref="Q150:Q151"/>
    <mergeCell ref="R150:R151"/>
    <mergeCell ref="S150:S151"/>
    <mergeCell ref="T150:T151"/>
    <mergeCell ref="I150:I151"/>
    <mergeCell ref="J150:J151"/>
    <mergeCell ref="K150:K151"/>
    <mergeCell ref="L150:L151"/>
    <mergeCell ref="M150:M151"/>
    <mergeCell ref="N150:N151"/>
    <mergeCell ref="AB152:AB153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Y150:Y151"/>
    <mergeCell ref="Z150:Z151"/>
    <mergeCell ref="AA150:AA151"/>
    <mergeCell ref="R152:R153"/>
    <mergeCell ref="S152:S153"/>
    <mergeCell ref="T152:T153"/>
    <mergeCell ref="Y152:Y153"/>
    <mergeCell ref="Z152:Z153"/>
    <mergeCell ref="AA152:AA153"/>
    <mergeCell ref="L152:L153"/>
    <mergeCell ref="M152:M153"/>
    <mergeCell ref="N152:N153"/>
    <mergeCell ref="O152:O153"/>
    <mergeCell ref="P152:P153"/>
    <mergeCell ref="Q152:Q153"/>
    <mergeCell ref="F152:F153"/>
    <mergeCell ref="G152:G153"/>
    <mergeCell ref="H152:H153"/>
    <mergeCell ref="I152:I153"/>
    <mergeCell ref="J152:J153"/>
    <mergeCell ref="K152:K153"/>
    <mergeCell ref="AB158:AB159"/>
    <mergeCell ref="O158:O159"/>
    <mergeCell ref="P158:P159"/>
    <mergeCell ref="Q158:Q159"/>
    <mergeCell ref="R158:R159"/>
    <mergeCell ref="S158:S159"/>
    <mergeCell ref="T158:T159"/>
    <mergeCell ref="I158:I159"/>
    <mergeCell ref="J158:J159"/>
    <mergeCell ref="K158:K159"/>
    <mergeCell ref="L158:L159"/>
    <mergeCell ref="M158:M159"/>
    <mergeCell ref="N158:N159"/>
    <mergeCell ref="AB174:AB175"/>
    <mergeCell ref="A176:A177"/>
    <mergeCell ref="B176:B177"/>
    <mergeCell ref="C176:C177"/>
    <mergeCell ref="D176:D177"/>
    <mergeCell ref="E176:E177"/>
    <mergeCell ref="O174:O175"/>
    <mergeCell ref="P174:P175"/>
    <mergeCell ref="Q174:Q175"/>
    <mergeCell ref="R174:R175"/>
    <mergeCell ref="S174:S175"/>
    <mergeCell ref="T174:T175"/>
    <mergeCell ref="I174:I175"/>
    <mergeCell ref="J174:J175"/>
    <mergeCell ref="K174:K175"/>
    <mergeCell ref="L174:L175"/>
    <mergeCell ref="M174:M175"/>
    <mergeCell ref="N174:N175"/>
    <mergeCell ref="AB176:AB177"/>
    <mergeCell ref="A174:A175"/>
    <mergeCell ref="B174:B175"/>
    <mergeCell ref="F176:F177"/>
    <mergeCell ref="G176:G177"/>
    <mergeCell ref="H176:H177"/>
    <mergeCell ref="I176:I177"/>
    <mergeCell ref="J176:J177"/>
    <mergeCell ref="K176:K177"/>
    <mergeCell ref="S176:S177"/>
    <mergeCell ref="T176:T177"/>
    <mergeCell ref="Y176:Y177"/>
    <mergeCell ref="Z176:Z177"/>
    <mergeCell ref="AA176:AA177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Y158:Y159"/>
    <mergeCell ref="Z158:Z159"/>
    <mergeCell ref="AA158:AA159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Y178:Y179"/>
    <mergeCell ref="Z178:Z179"/>
    <mergeCell ref="AA178:AA179"/>
    <mergeCell ref="C174:C175"/>
    <mergeCell ref="D174:D175"/>
    <mergeCell ref="E174:E175"/>
    <mergeCell ref="F174:F175"/>
    <mergeCell ref="G174:G175"/>
    <mergeCell ref="H174:H175"/>
    <mergeCell ref="Y174:Y175"/>
    <mergeCell ref="Z174:Z175"/>
    <mergeCell ref="AA174:AA175"/>
    <mergeCell ref="R176:R177"/>
    <mergeCell ref="L176:L177"/>
    <mergeCell ref="M176:M177"/>
    <mergeCell ref="N176:N177"/>
    <mergeCell ref="O176:O177"/>
    <mergeCell ref="P176:P177"/>
    <mergeCell ref="Q176:Q177"/>
    <mergeCell ref="Q184:Q185"/>
    <mergeCell ref="F184:F185"/>
    <mergeCell ref="G184:G185"/>
    <mergeCell ref="H184:H185"/>
    <mergeCell ref="I184:I185"/>
    <mergeCell ref="J184:J185"/>
    <mergeCell ref="K184:K185"/>
    <mergeCell ref="AB178:AB179"/>
    <mergeCell ref="O178:O179"/>
    <mergeCell ref="P178:P179"/>
    <mergeCell ref="Q178:Q179"/>
    <mergeCell ref="R178:R179"/>
    <mergeCell ref="S178:S179"/>
    <mergeCell ref="T178:T179"/>
    <mergeCell ref="I178:I179"/>
    <mergeCell ref="J178:J179"/>
    <mergeCell ref="K178:K179"/>
    <mergeCell ref="L178:L179"/>
    <mergeCell ref="M178:M179"/>
    <mergeCell ref="N178:N179"/>
    <mergeCell ref="N188:N189"/>
    <mergeCell ref="AB196:AB197"/>
    <mergeCell ref="A188:A189"/>
    <mergeCell ref="B188:B189"/>
    <mergeCell ref="C188:C189"/>
    <mergeCell ref="D188:D189"/>
    <mergeCell ref="E188:E189"/>
    <mergeCell ref="F188:F189"/>
    <mergeCell ref="G188:G189"/>
    <mergeCell ref="H188:H189"/>
    <mergeCell ref="Y188:Y189"/>
    <mergeCell ref="Z188:Z189"/>
    <mergeCell ref="AA188:AA189"/>
    <mergeCell ref="R196:R197"/>
    <mergeCell ref="S196:S197"/>
    <mergeCell ref="A184:A185"/>
    <mergeCell ref="B184:B185"/>
    <mergeCell ref="C184:C185"/>
    <mergeCell ref="D184:D185"/>
    <mergeCell ref="E184:E185"/>
    <mergeCell ref="AB184:AB185"/>
    <mergeCell ref="R184:R185"/>
    <mergeCell ref="S184:S185"/>
    <mergeCell ref="T184:T185"/>
    <mergeCell ref="Y184:Y185"/>
    <mergeCell ref="Z184:Z185"/>
    <mergeCell ref="AA184:AA185"/>
    <mergeCell ref="L184:L185"/>
    <mergeCell ref="M184:M185"/>
    <mergeCell ref="N184:N185"/>
    <mergeCell ref="O184:O185"/>
    <mergeCell ref="P184:P185"/>
    <mergeCell ref="Z196:Z197"/>
    <mergeCell ref="AA196:AA197"/>
    <mergeCell ref="L196:L197"/>
    <mergeCell ref="M196:M197"/>
    <mergeCell ref="N196:N197"/>
    <mergeCell ref="O196:O197"/>
    <mergeCell ref="P196:P197"/>
    <mergeCell ref="Q196:Q197"/>
    <mergeCell ref="F196:F197"/>
    <mergeCell ref="G196:G197"/>
    <mergeCell ref="H196:H197"/>
    <mergeCell ref="I196:I197"/>
    <mergeCell ref="J196:J197"/>
    <mergeCell ref="K196:K197"/>
    <mergeCell ref="AB216:AB217"/>
    <mergeCell ref="AB188:AB189"/>
    <mergeCell ref="A196:A197"/>
    <mergeCell ref="B196:B197"/>
    <mergeCell ref="C196:C197"/>
    <mergeCell ref="D196:D197"/>
    <mergeCell ref="E196:E197"/>
    <mergeCell ref="O188:O189"/>
    <mergeCell ref="P188:P189"/>
    <mergeCell ref="Q188:Q189"/>
    <mergeCell ref="R188:R189"/>
    <mergeCell ref="S188:S189"/>
    <mergeCell ref="T188:T189"/>
    <mergeCell ref="I188:I189"/>
    <mergeCell ref="J188:J189"/>
    <mergeCell ref="K188:K189"/>
    <mergeCell ref="L188:L189"/>
    <mergeCell ref="M188:M189"/>
    <mergeCell ref="C218:C219"/>
    <mergeCell ref="D218:D219"/>
    <mergeCell ref="E218:E219"/>
    <mergeCell ref="O216:O217"/>
    <mergeCell ref="P216:P217"/>
    <mergeCell ref="Q216:Q217"/>
    <mergeCell ref="R216:R217"/>
    <mergeCell ref="S216:S217"/>
    <mergeCell ref="T216:T217"/>
    <mergeCell ref="I216:I217"/>
    <mergeCell ref="J216:J217"/>
    <mergeCell ref="K216:K217"/>
    <mergeCell ref="L216:L217"/>
    <mergeCell ref="M216:M217"/>
    <mergeCell ref="N216:N217"/>
    <mergeCell ref="T196:T197"/>
    <mergeCell ref="Y196:Y197"/>
    <mergeCell ref="AB218:AB219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Y216:Y217"/>
    <mergeCell ref="Z216:Z217"/>
    <mergeCell ref="AA216:AA217"/>
    <mergeCell ref="R218:R219"/>
    <mergeCell ref="S218:S219"/>
    <mergeCell ref="T218:T219"/>
    <mergeCell ref="Y218:Y219"/>
    <mergeCell ref="Z218:Z219"/>
    <mergeCell ref="AA218:AA219"/>
    <mergeCell ref="L218:L219"/>
    <mergeCell ref="M218:M219"/>
    <mergeCell ref="N218:N219"/>
    <mergeCell ref="O218:O219"/>
    <mergeCell ref="P218:P219"/>
    <mergeCell ref="Q218:Q219"/>
    <mergeCell ref="F218:F219"/>
    <mergeCell ref="G218:G219"/>
    <mergeCell ref="H218:H219"/>
    <mergeCell ref="I218:I219"/>
    <mergeCell ref="J218:J219"/>
    <mergeCell ref="K218:K219"/>
    <mergeCell ref="A218:A219"/>
    <mergeCell ref="B218:B219"/>
    <mergeCell ref="AB220:AB221"/>
    <mergeCell ref="A222:A223"/>
    <mergeCell ref="B222:B223"/>
    <mergeCell ref="C222:C223"/>
    <mergeCell ref="D222:D223"/>
    <mergeCell ref="E222:E223"/>
    <mergeCell ref="O220:O221"/>
    <mergeCell ref="P220:P221"/>
    <mergeCell ref="Q220:Q221"/>
    <mergeCell ref="R220:R221"/>
    <mergeCell ref="S220:S221"/>
    <mergeCell ref="T220:T221"/>
    <mergeCell ref="I220:I221"/>
    <mergeCell ref="J220:J221"/>
    <mergeCell ref="K220:K221"/>
    <mergeCell ref="L220:L221"/>
    <mergeCell ref="M220:M221"/>
    <mergeCell ref="N220:N221"/>
    <mergeCell ref="AB222:AB223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Y220:Y221"/>
    <mergeCell ref="Z220:Z221"/>
    <mergeCell ref="AA220:AA221"/>
    <mergeCell ref="R222:R223"/>
    <mergeCell ref="S222:S223"/>
    <mergeCell ref="T222:T223"/>
    <mergeCell ref="Y222:Y223"/>
    <mergeCell ref="Z222:Z223"/>
    <mergeCell ref="AA222:AA223"/>
    <mergeCell ref="L222:L223"/>
    <mergeCell ref="M222:M223"/>
    <mergeCell ref="N222:N223"/>
    <mergeCell ref="O222:O223"/>
    <mergeCell ref="P222:P223"/>
    <mergeCell ref="Q222:Q223"/>
    <mergeCell ref="F222:F223"/>
    <mergeCell ref="G222:G223"/>
    <mergeCell ref="H222:H223"/>
    <mergeCell ref="I222:I223"/>
    <mergeCell ref="J222:J223"/>
    <mergeCell ref="K222:K223"/>
    <mergeCell ref="A224:A225"/>
    <mergeCell ref="B224:B225"/>
    <mergeCell ref="C224:C225"/>
    <mergeCell ref="D224:D225"/>
    <mergeCell ref="E224:E225"/>
    <mergeCell ref="AB224:AB225"/>
    <mergeCell ref="R224:R225"/>
    <mergeCell ref="S224:S225"/>
    <mergeCell ref="T224:T225"/>
    <mergeCell ref="Y224:Y225"/>
    <mergeCell ref="Z224:Z225"/>
    <mergeCell ref="AA224:AA225"/>
    <mergeCell ref="L224:L225"/>
    <mergeCell ref="M224:M225"/>
    <mergeCell ref="N224:N225"/>
    <mergeCell ref="O224:O225"/>
    <mergeCell ref="P224:P225"/>
    <mergeCell ref="Q224:Q225"/>
    <mergeCell ref="F224:F225"/>
    <mergeCell ref="G224:G225"/>
    <mergeCell ref="H224:H225"/>
    <mergeCell ref="I224:I225"/>
    <mergeCell ref="J224:J225"/>
    <mergeCell ref="K224:K225"/>
    <mergeCell ref="AB227:AB228"/>
    <mergeCell ref="A229:A230"/>
    <mergeCell ref="B229:B230"/>
    <mergeCell ref="C229:C230"/>
    <mergeCell ref="D229:D230"/>
    <mergeCell ref="E229:E230"/>
    <mergeCell ref="O227:O228"/>
    <mergeCell ref="P227:P228"/>
    <mergeCell ref="Q227:Q228"/>
    <mergeCell ref="R227:R228"/>
    <mergeCell ref="S227:S228"/>
    <mergeCell ref="T227:T228"/>
    <mergeCell ref="I227:I228"/>
    <mergeCell ref="J227:J228"/>
    <mergeCell ref="K227:K228"/>
    <mergeCell ref="L227:L228"/>
    <mergeCell ref="M227:M228"/>
    <mergeCell ref="N227:N228"/>
    <mergeCell ref="AB229:AB230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Y227:Y228"/>
    <mergeCell ref="Z227:Z228"/>
    <mergeCell ref="AA227:AA228"/>
    <mergeCell ref="A232:A233"/>
    <mergeCell ref="B232:B233"/>
    <mergeCell ref="C232:C233"/>
    <mergeCell ref="D232:D233"/>
    <mergeCell ref="E232:E233"/>
    <mergeCell ref="F232:F233"/>
    <mergeCell ref="G232:G233"/>
    <mergeCell ref="H232:H233"/>
    <mergeCell ref="Y232:Y233"/>
    <mergeCell ref="Z232:Z233"/>
    <mergeCell ref="AA232:AA233"/>
    <mergeCell ref="R229:R230"/>
    <mergeCell ref="S229:S230"/>
    <mergeCell ref="T229:T230"/>
    <mergeCell ref="Y229:Y230"/>
    <mergeCell ref="Z229:Z230"/>
    <mergeCell ref="AA229:AA230"/>
    <mergeCell ref="L229:L230"/>
    <mergeCell ref="M229:M230"/>
    <mergeCell ref="N229:N230"/>
    <mergeCell ref="O229:O230"/>
    <mergeCell ref="P229:P230"/>
    <mergeCell ref="Q229:Q230"/>
    <mergeCell ref="F229:F230"/>
    <mergeCell ref="G229:G230"/>
    <mergeCell ref="H229:H230"/>
    <mergeCell ref="I229:I230"/>
    <mergeCell ref="J229:J230"/>
    <mergeCell ref="K229:K230"/>
    <mergeCell ref="T244:T246"/>
    <mergeCell ref="Y244:Y246"/>
    <mergeCell ref="Z244:Z246"/>
    <mergeCell ref="AA244:AA246"/>
    <mergeCell ref="AB244:AB246"/>
    <mergeCell ref="AB232:AB233"/>
    <mergeCell ref="O232:O233"/>
    <mergeCell ref="P232:P233"/>
    <mergeCell ref="Q232:Q233"/>
    <mergeCell ref="R232:R233"/>
    <mergeCell ref="S232:S233"/>
    <mergeCell ref="T232:T233"/>
    <mergeCell ref="I232:I233"/>
    <mergeCell ref="J232:J233"/>
    <mergeCell ref="K232:K233"/>
    <mergeCell ref="L232:L233"/>
    <mergeCell ref="M232:M233"/>
    <mergeCell ref="N232:N233"/>
    <mergeCell ref="B248:B249"/>
    <mergeCell ref="C248:C249"/>
    <mergeCell ref="D248:D249"/>
    <mergeCell ref="N244:N246"/>
    <mergeCell ref="O244:O246"/>
    <mergeCell ref="P244:P246"/>
    <mergeCell ref="Q244:Q246"/>
    <mergeCell ref="R244:R246"/>
    <mergeCell ref="S244:S246"/>
    <mergeCell ref="H244:H246"/>
    <mergeCell ref="I244:I246"/>
    <mergeCell ref="J244:J246"/>
    <mergeCell ref="K244:K246"/>
    <mergeCell ref="L244:L246"/>
    <mergeCell ref="M244:M246"/>
    <mergeCell ref="A244:A246"/>
    <mergeCell ref="B244:B246"/>
    <mergeCell ref="C244:C246"/>
    <mergeCell ref="D244:D246"/>
    <mergeCell ref="E244:E246"/>
    <mergeCell ref="F244:F246"/>
    <mergeCell ref="G244:G246"/>
    <mergeCell ref="AA248:AA249"/>
    <mergeCell ref="AB248:AB249"/>
    <mergeCell ref="A252:A253"/>
    <mergeCell ref="B252:B253"/>
    <mergeCell ref="C252:C253"/>
    <mergeCell ref="D252:D253"/>
    <mergeCell ref="E252:E253"/>
    <mergeCell ref="F252:F253"/>
    <mergeCell ref="G252:G253"/>
    <mergeCell ref="Q248:Q249"/>
    <mergeCell ref="R248:R249"/>
    <mergeCell ref="S248:S249"/>
    <mergeCell ref="T248:T249"/>
    <mergeCell ref="Y248:Y249"/>
    <mergeCell ref="Z248:Z249"/>
    <mergeCell ref="K248:K249"/>
    <mergeCell ref="L248:L249"/>
    <mergeCell ref="M248:M249"/>
    <mergeCell ref="N248:N249"/>
    <mergeCell ref="O248:O249"/>
    <mergeCell ref="P248:P249"/>
    <mergeCell ref="E248:E249"/>
    <mergeCell ref="F248:F249"/>
    <mergeCell ref="G248:G249"/>
    <mergeCell ref="H248:H249"/>
    <mergeCell ref="I248:I249"/>
    <mergeCell ref="J248:J249"/>
    <mergeCell ref="T252:T253"/>
    <mergeCell ref="Y252:Y253"/>
    <mergeCell ref="Z252:Z253"/>
    <mergeCell ref="AA252:AA253"/>
    <mergeCell ref="A248:A249"/>
    <mergeCell ref="AB252:AB253"/>
    <mergeCell ref="N252:N253"/>
    <mergeCell ref="O252:O253"/>
    <mergeCell ref="P252:P253"/>
    <mergeCell ref="Q252:Q253"/>
    <mergeCell ref="R252:R253"/>
    <mergeCell ref="S252:S253"/>
    <mergeCell ref="H252:H253"/>
    <mergeCell ref="I252:I253"/>
    <mergeCell ref="J252:J253"/>
    <mergeCell ref="K252:K253"/>
    <mergeCell ref="L252:L253"/>
    <mergeCell ref="M252:M253"/>
    <mergeCell ref="AA255:AA256"/>
    <mergeCell ref="AB255:AB256"/>
    <mergeCell ref="N255:N256"/>
    <mergeCell ref="O255:O256"/>
    <mergeCell ref="P255:P256"/>
    <mergeCell ref="Q255:Q256"/>
    <mergeCell ref="R255:R256"/>
    <mergeCell ref="S255:S256"/>
    <mergeCell ref="H255:H256"/>
    <mergeCell ref="I255:I256"/>
    <mergeCell ref="J255:J256"/>
    <mergeCell ref="K255:K256"/>
    <mergeCell ref="L255:L256"/>
    <mergeCell ref="M255:M256"/>
    <mergeCell ref="A255:A256"/>
    <mergeCell ref="B255:B256"/>
    <mergeCell ref="C255:C256"/>
    <mergeCell ref="D255:D256"/>
    <mergeCell ref="E255:E256"/>
    <mergeCell ref="F255:F256"/>
    <mergeCell ref="G255:G256"/>
    <mergeCell ref="T255:T256"/>
    <mergeCell ref="Y255:Y256"/>
    <mergeCell ref="Z255:Z256"/>
    <mergeCell ref="AA282:AA283"/>
    <mergeCell ref="AB282:AB283"/>
    <mergeCell ref="N282:N283"/>
    <mergeCell ref="O282:O283"/>
    <mergeCell ref="P282:P283"/>
    <mergeCell ref="Q282:Q283"/>
    <mergeCell ref="R282:R283"/>
    <mergeCell ref="S282:S283"/>
    <mergeCell ref="H282:H283"/>
    <mergeCell ref="I282:I283"/>
    <mergeCell ref="J282:J283"/>
    <mergeCell ref="K282:K283"/>
    <mergeCell ref="L282:L283"/>
    <mergeCell ref="M282:M283"/>
    <mergeCell ref="A282:A283"/>
    <mergeCell ref="B282:B283"/>
    <mergeCell ref="C282:C283"/>
    <mergeCell ref="D282:D283"/>
    <mergeCell ref="E282:E283"/>
    <mergeCell ref="F282:F283"/>
    <mergeCell ref="G282:G283"/>
    <mergeCell ref="T282:T283"/>
    <mergeCell ref="Y282:Y283"/>
    <mergeCell ref="Z282:Z283"/>
    <mergeCell ref="AA285:AA286"/>
    <mergeCell ref="AB285:AB286"/>
    <mergeCell ref="N285:N286"/>
    <mergeCell ref="O285:O286"/>
    <mergeCell ref="P285:P286"/>
    <mergeCell ref="Q285:Q286"/>
    <mergeCell ref="R285:R286"/>
    <mergeCell ref="S285:S286"/>
    <mergeCell ref="H285:H286"/>
    <mergeCell ref="I285:I286"/>
    <mergeCell ref="J285:J286"/>
    <mergeCell ref="K285:K286"/>
    <mergeCell ref="L285:L286"/>
    <mergeCell ref="M285:M286"/>
    <mergeCell ref="A285:A286"/>
    <mergeCell ref="B285:B286"/>
    <mergeCell ref="C285:C286"/>
    <mergeCell ref="D285:D286"/>
    <mergeCell ref="E285:E286"/>
    <mergeCell ref="F285:F286"/>
    <mergeCell ref="G285:G286"/>
    <mergeCell ref="T285:T286"/>
    <mergeCell ref="Y285:Y286"/>
    <mergeCell ref="Z285:Z286"/>
    <mergeCell ref="AA295:AA296"/>
    <mergeCell ref="AB295:AB296"/>
    <mergeCell ref="A297:A298"/>
    <mergeCell ref="B297:B298"/>
    <mergeCell ref="C297:C298"/>
    <mergeCell ref="D297:D298"/>
    <mergeCell ref="N295:N296"/>
    <mergeCell ref="O295:O296"/>
    <mergeCell ref="P295:P296"/>
    <mergeCell ref="Q295:Q296"/>
    <mergeCell ref="R295:R296"/>
    <mergeCell ref="S295:S296"/>
    <mergeCell ref="H295:H296"/>
    <mergeCell ref="I295:I296"/>
    <mergeCell ref="J295:J296"/>
    <mergeCell ref="K295:K296"/>
    <mergeCell ref="L295:L296"/>
    <mergeCell ref="M295:M296"/>
    <mergeCell ref="AA297:AA298"/>
    <mergeCell ref="AB297:AB298"/>
    <mergeCell ref="A295:A296"/>
    <mergeCell ref="B295:B296"/>
    <mergeCell ref="C295:C296"/>
    <mergeCell ref="D295:D296"/>
    <mergeCell ref="E295:E296"/>
    <mergeCell ref="F295:F296"/>
    <mergeCell ref="G295:G296"/>
    <mergeCell ref="T295:T296"/>
    <mergeCell ref="Y295:Y296"/>
    <mergeCell ref="Z295:Z296"/>
    <mergeCell ref="Q297:Q298"/>
    <mergeCell ref="R297:R298"/>
    <mergeCell ref="S297:S298"/>
    <mergeCell ref="T297:T298"/>
    <mergeCell ref="Y297:Y298"/>
    <mergeCell ref="Z297:Z298"/>
    <mergeCell ref="K297:K298"/>
    <mergeCell ref="L297:L298"/>
    <mergeCell ref="M297:M298"/>
    <mergeCell ref="N297:N298"/>
    <mergeCell ref="O297:O298"/>
    <mergeCell ref="P297:P298"/>
    <mergeCell ref="E297:E298"/>
    <mergeCell ref="F297:F298"/>
    <mergeCell ref="G297:G298"/>
    <mergeCell ref="H297:H298"/>
    <mergeCell ref="I297:I298"/>
    <mergeCell ref="J297:J298"/>
    <mergeCell ref="AA302:AA303"/>
    <mergeCell ref="AB302:AB303"/>
    <mergeCell ref="A308:A309"/>
    <mergeCell ref="B308:B309"/>
    <mergeCell ref="C308:C309"/>
    <mergeCell ref="D308:D309"/>
    <mergeCell ref="N302:N303"/>
    <mergeCell ref="O302:O303"/>
    <mergeCell ref="P302:P303"/>
    <mergeCell ref="Q302:Q303"/>
    <mergeCell ref="R302:R303"/>
    <mergeCell ref="S302:S303"/>
    <mergeCell ref="H302:H303"/>
    <mergeCell ref="I302:I303"/>
    <mergeCell ref="J302:J303"/>
    <mergeCell ref="K302:K303"/>
    <mergeCell ref="L302:L303"/>
    <mergeCell ref="M302:M303"/>
    <mergeCell ref="AA308:AA309"/>
    <mergeCell ref="AB308:AB309"/>
    <mergeCell ref="A302:A303"/>
    <mergeCell ref="B302:B303"/>
    <mergeCell ref="C302:C303"/>
    <mergeCell ref="D302:D303"/>
    <mergeCell ref="E302:E303"/>
    <mergeCell ref="F302:F303"/>
    <mergeCell ref="G302:G303"/>
    <mergeCell ref="T302:T303"/>
    <mergeCell ref="Y302:Y303"/>
    <mergeCell ref="Z302:Z303"/>
    <mergeCell ref="Q308:Q309"/>
    <mergeCell ref="R308:R309"/>
    <mergeCell ref="S308:S309"/>
    <mergeCell ref="T308:T309"/>
    <mergeCell ref="Y308:Y309"/>
    <mergeCell ref="Z308:Z309"/>
    <mergeCell ref="K308:K309"/>
    <mergeCell ref="L308:L309"/>
    <mergeCell ref="M308:M309"/>
    <mergeCell ref="N308:N309"/>
    <mergeCell ref="O308:O309"/>
    <mergeCell ref="P308:P309"/>
    <mergeCell ref="E308:E309"/>
    <mergeCell ref="F308:F309"/>
    <mergeCell ref="G308:G309"/>
    <mergeCell ref="H308:H309"/>
    <mergeCell ref="I308:I309"/>
    <mergeCell ref="J308:J309"/>
    <mergeCell ref="A317:A318"/>
    <mergeCell ref="B317:B318"/>
    <mergeCell ref="C317:C318"/>
    <mergeCell ref="D317:D318"/>
    <mergeCell ref="AA317:AA318"/>
    <mergeCell ref="AB317:AB318"/>
    <mergeCell ref="Q317:Q318"/>
    <mergeCell ref="R317:R318"/>
    <mergeCell ref="S317:S318"/>
    <mergeCell ref="T317:T318"/>
    <mergeCell ref="Y317:Y318"/>
    <mergeCell ref="Z317:Z318"/>
    <mergeCell ref="K317:K318"/>
    <mergeCell ref="L317:L318"/>
    <mergeCell ref="M317:M318"/>
    <mergeCell ref="N317:N318"/>
    <mergeCell ref="O317:O318"/>
    <mergeCell ref="P317:P318"/>
    <mergeCell ref="E317:E318"/>
    <mergeCell ref="F317:F318"/>
    <mergeCell ref="G317:G318"/>
    <mergeCell ref="H317:H318"/>
    <mergeCell ref="I317:I318"/>
    <mergeCell ref="J317:J318"/>
    <mergeCell ref="AA319:AA320"/>
    <mergeCell ref="AB319:AB320"/>
    <mergeCell ref="A321:A322"/>
    <mergeCell ref="B321:B322"/>
    <mergeCell ref="C321:C322"/>
    <mergeCell ref="D321:D322"/>
    <mergeCell ref="N319:N320"/>
    <mergeCell ref="O319:O320"/>
    <mergeCell ref="P319:P320"/>
    <mergeCell ref="Q319:Q320"/>
    <mergeCell ref="R319:R320"/>
    <mergeCell ref="S319:S320"/>
    <mergeCell ref="H319:H320"/>
    <mergeCell ref="I319:I320"/>
    <mergeCell ref="J319:J320"/>
    <mergeCell ref="K319:K320"/>
    <mergeCell ref="L319:L320"/>
    <mergeCell ref="M319:M320"/>
    <mergeCell ref="AA321:AA322"/>
    <mergeCell ref="AB321:AB322"/>
    <mergeCell ref="A319:A320"/>
    <mergeCell ref="B319:B320"/>
    <mergeCell ref="C319:C320"/>
    <mergeCell ref="D319:D320"/>
    <mergeCell ref="E319:E320"/>
    <mergeCell ref="F319:F320"/>
    <mergeCell ref="G319:G320"/>
    <mergeCell ref="T319:T320"/>
    <mergeCell ref="Y319:Y320"/>
    <mergeCell ref="Z319:Z320"/>
    <mergeCell ref="Q321:Q322"/>
    <mergeCell ref="R321:R322"/>
    <mergeCell ref="S321:S322"/>
    <mergeCell ref="T321:T322"/>
    <mergeCell ref="Y321:Y322"/>
    <mergeCell ref="Z321:Z322"/>
    <mergeCell ref="K321:K322"/>
    <mergeCell ref="L321:L322"/>
    <mergeCell ref="M321:M322"/>
    <mergeCell ref="N321:N322"/>
    <mergeCell ref="O321:O322"/>
    <mergeCell ref="P321:P322"/>
    <mergeCell ref="E321:E322"/>
    <mergeCell ref="F321:F322"/>
    <mergeCell ref="G321:G322"/>
    <mergeCell ref="H321:H322"/>
    <mergeCell ref="I321:I322"/>
    <mergeCell ref="J321:J322"/>
    <mergeCell ref="AA323:AA324"/>
    <mergeCell ref="AB328:AB329"/>
    <mergeCell ref="AB323:AB324"/>
    <mergeCell ref="A325:A326"/>
    <mergeCell ref="B325:B326"/>
    <mergeCell ref="C325:C326"/>
    <mergeCell ref="D325:D326"/>
    <mergeCell ref="N323:N324"/>
    <mergeCell ref="O323:O324"/>
    <mergeCell ref="P323:P324"/>
    <mergeCell ref="Q323:Q324"/>
    <mergeCell ref="R323:R324"/>
    <mergeCell ref="S323:S324"/>
    <mergeCell ref="H323:H324"/>
    <mergeCell ref="I323:I324"/>
    <mergeCell ref="J323:J324"/>
    <mergeCell ref="K323:K324"/>
    <mergeCell ref="L323:L324"/>
    <mergeCell ref="M323:M324"/>
    <mergeCell ref="AA325:AA326"/>
    <mergeCell ref="AB325:AB326"/>
    <mergeCell ref="A323:A324"/>
    <mergeCell ref="B323:B324"/>
    <mergeCell ref="C323:C324"/>
    <mergeCell ref="D323:D324"/>
    <mergeCell ref="E323:E324"/>
    <mergeCell ref="F323:F324"/>
    <mergeCell ref="G323:G324"/>
    <mergeCell ref="T323:T324"/>
    <mergeCell ref="Y323:Y324"/>
    <mergeCell ref="Z323:Z324"/>
    <mergeCell ref="Q325:Q326"/>
    <mergeCell ref="R325:R326"/>
    <mergeCell ref="AA330:AA331"/>
    <mergeCell ref="T325:T326"/>
    <mergeCell ref="Y325:Y326"/>
    <mergeCell ref="Z325:Z326"/>
    <mergeCell ref="K325:K326"/>
    <mergeCell ref="L325:L326"/>
    <mergeCell ref="M325:M326"/>
    <mergeCell ref="N325:N326"/>
    <mergeCell ref="O325:O326"/>
    <mergeCell ref="P325:P326"/>
    <mergeCell ref="E325:E326"/>
    <mergeCell ref="F325:F326"/>
    <mergeCell ref="G325:G326"/>
    <mergeCell ref="H325:H326"/>
    <mergeCell ref="I325:I326"/>
    <mergeCell ref="J325:J326"/>
    <mergeCell ref="AA328:AA329"/>
    <mergeCell ref="S325:S326"/>
    <mergeCell ref="F330:F331"/>
    <mergeCell ref="G330:G331"/>
    <mergeCell ref="H330:H331"/>
    <mergeCell ref="I330:I331"/>
    <mergeCell ref="J330:J331"/>
    <mergeCell ref="A330:A331"/>
    <mergeCell ref="B330:B331"/>
    <mergeCell ref="C330:C331"/>
    <mergeCell ref="D330:D331"/>
    <mergeCell ref="N328:N329"/>
    <mergeCell ref="O328:O329"/>
    <mergeCell ref="P328:P329"/>
    <mergeCell ref="Q328:Q329"/>
    <mergeCell ref="R328:R329"/>
    <mergeCell ref="S328:S329"/>
    <mergeCell ref="H328:H329"/>
    <mergeCell ref="I328:I329"/>
    <mergeCell ref="J328:J329"/>
    <mergeCell ref="K328:K329"/>
    <mergeCell ref="L328:L329"/>
    <mergeCell ref="M328:M329"/>
    <mergeCell ref="A345:A346"/>
    <mergeCell ref="B345:B346"/>
    <mergeCell ref="C345:C346"/>
    <mergeCell ref="D345:D346"/>
    <mergeCell ref="K345:K346"/>
    <mergeCell ref="L345:L346"/>
    <mergeCell ref="M345:M346"/>
    <mergeCell ref="N345:N346"/>
    <mergeCell ref="O345:O346"/>
    <mergeCell ref="P345:P346"/>
    <mergeCell ref="E345:E346"/>
    <mergeCell ref="F345:F346"/>
    <mergeCell ref="G345:G346"/>
    <mergeCell ref="H345:H346"/>
    <mergeCell ref="I345:I346"/>
    <mergeCell ref="J345:J346"/>
    <mergeCell ref="AA345:AA346"/>
    <mergeCell ref="AB345:AB346"/>
    <mergeCell ref="Q345:Q346"/>
    <mergeCell ref="R345:R346"/>
    <mergeCell ref="AB330:AB331"/>
    <mergeCell ref="A328:A329"/>
    <mergeCell ref="B328:B329"/>
    <mergeCell ref="C328:C329"/>
    <mergeCell ref="D328:D329"/>
    <mergeCell ref="E328:E329"/>
    <mergeCell ref="F328:F329"/>
    <mergeCell ref="G328:G329"/>
    <mergeCell ref="T328:T329"/>
    <mergeCell ref="Y328:Y329"/>
    <mergeCell ref="Z328:Z329"/>
    <mergeCell ref="Q330:Q331"/>
    <mergeCell ref="R330:R331"/>
    <mergeCell ref="S330:S331"/>
    <mergeCell ref="T330:T331"/>
    <mergeCell ref="Y330:Y331"/>
    <mergeCell ref="Z330:Z331"/>
    <mergeCell ref="K330:K331"/>
    <mergeCell ref="L330:L331"/>
    <mergeCell ref="M330:M331"/>
    <mergeCell ref="N330:N331"/>
    <mergeCell ref="O330:O331"/>
    <mergeCell ref="P330:P331"/>
    <mergeCell ref="E330:E331"/>
    <mergeCell ref="S345:S346"/>
    <mergeCell ref="T345:T346"/>
    <mergeCell ref="Y345:Y346"/>
    <mergeCell ref="Z345:Z346"/>
    <mergeCell ref="AB366:AC366"/>
    <mergeCell ref="AB367:AD367"/>
    <mergeCell ref="AA352:AA353"/>
    <mergeCell ref="AB352:AB353"/>
    <mergeCell ref="N352:N353"/>
    <mergeCell ref="O352:O353"/>
    <mergeCell ref="P352:P353"/>
    <mergeCell ref="Q352:Q353"/>
    <mergeCell ref="R352:R353"/>
    <mergeCell ref="S352:S353"/>
    <mergeCell ref="H352:H353"/>
    <mergeCell ref="I352:I353"/>
    <mergeCell ref="J352:J353"/>
    <mergeCell ref="K352:K353"/>
    <mergeCell ref="L352:L353"/>
    <mergeCell ref="M352:M353"/>
    <mergeCell ref="A352:A353"/>
    <mergeCell ref="B352:B353"/>
    <mergeCell ref="C352:C353"/>
    <mergeCell ref="D352:D353"/>
    <mergeCell ref="E352:E353"/>
    <mergeCell ref="F352:F353"/>
    <mergeCell ref="G352:G353"/>
    <mergeCell ref="T352:T353"/>
    <mergeCell ref="Y352:Y353"/>
    <mergeCell ref="Z352:Z353"/>
  </mergeCells>
  <pageMargins left="0.7" right="0.7" top="0.78740157499999996" bottom="0.78740157499999996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Prořezy 1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Věra Šumová</dc:creator>
  <cp:lastModifiedBy>Ing. Věra Šumová</cp:lastModifiedBy>
  <cp:lastPrinted>2025-07-10T12:00:37Z</cp:lastPrinted>
  <dcterms:created xsi:type="dcterms:W3CDTF">2024-04-08T11:56:21Z</dcterms:created>
  <dcterms:modified xsi:type="dcterms:W3CDTF">2025-08-28T04:54:45Z</dcterms:modified>
</cp:coreProperties>
</file>