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SPOL\_TECHNICKÁ SKUPINA\_DOKUMENTAČNÍ  KOMISE\Dokumentační komise 2025\DK 04_duben 2025\012_ZS_Labe, Ústí n.L.-Roudnice n.L, kácení dřevin, ř. km 771,3-808,85\"/>
    </mc:Choice>
  </mc:AlternateContent>
  <bookViews>
    <workbookView xWindow="0" yWindow="0" windowWidth="22185" windowHeight="9030"/>
  </bookViews>
  <sheets>
    <sheet name="List1" sheetId="1" r:id="rId1"/>
  </sheets>
  <definedNames>
    <definedName name="_xlnm._FilterDatabase" localSheetId="0" hidden="1">List1!$AC$1:$AC$116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108" i="1" l="1"/>
  <c r="AD113" i="1" s="1"/>
  <c r="W73" i="1" l="1"/>
  <c r="Z107" i="1" l="1"/>
  <c r="W107" i="1"/>
  <c r="Z106" i="1"/>
  <c r="W106" i="1"/>
  <c r="Z105" i="1"/>
  <c r="W105" i="1"/>
  <c r="Z104" i="1"/>
  <c r="W104" i="1"/>
  <c r="Z103" i="1"/>
  <c r="W103" i="1"/>
  <c r="Z102" i="1"/>
  <c r="W102" i="1"/>
  <c r="Z101" i="1"/>
  <c r="W101" i="1"/>
  <c r="Z100" i="1"/>
  <c r="W100" i="1"/>
  <c r="Z99" i="1"/>
  <c r="W99" i="1"/>
  <c r="Z98" i="1"/>
  <c r="W98" i="1"/>
  <c r="Z97" i="1"/>
  <c r="W97" i="1"/>
  <c r="Z96" i="1"/>
  <c r="W96" i="1"/>
  <c r="Z95" i="1"/>
  <c r="W95" i="1"/>
  <c r="Z94" i="1"/>
  <c r="W94" i="1"/>
  <c r="Z93" i="1"/>
  <c r="W93" i="1"/>
  <c r="Z92" i="1"/>
  <c r="W92" i="1"/>
  <c r="Z91" i="1"/>
  <c r="W91" i="1"/>
  <c r="Z90" i="1"/>
  <c r="W90" i="1"/>
  <c r="Z89" i="1"/>
  <c r="W89" i="1"/>
  <c r="Z88" i="1"/>
  <c r="W88" i="1"/>
  <c r="Z87" i="1"/>
  <c r="W87" i="1"/>
  <c r="Z86" i="1"/>
  <c r="W86" i="1"/>
  <c r="Z85" i="1"/>
  <c r="W85" i="1"/>
  <c r="Z84" i="1"/>
  <c r="W84" i="1"/>
  <c r="Z83" i="1"/>
  <c r="W83" i="1"/>
  <c r="Z82" i="1"/>
  <c r="W82" i="1"/>
  <c r="Z81" i="1"/>
  <c r="W81" i="1"/>
  <c r="Z80" i="1"/>
  <c r="W80" i="1"/>
  <c r="Z79" i="1"/>
  <c r="W79" i="1"/>
  <c r="Z78" i="1"/>
  <c r="W78" i="1"/>
  <c r="Z77" i="1"/>
  <c r="W77" i="1"/>
  <c r="Z76" i="1"/>
  <c r="W76" i="1"/>
  <c r="Z75" i="1"/>
  <c r="W75" i="1"/>
  <c r="Z74" i="1"/>
  <c r="W74" i="1"/>
  <c r="Z73" i="1"/>
  <c r="Z72" i="1"/>
  <c r="W72" i="1"/>
  <c r="Z71" i="1"/>
  <c r="W71" i="1"/>
  <c r="Z70" i="1"/>
  <c r="W70" i="1"/>
  <c r="Z69" i="1"/>
  <c r="W69" i="1"/>
  <c r="Z68" i="1"/>
  <c r="W68" i="1"/>
  <c r="Z67" i="1"/>
  <c r="W67" i="1"/>
  <c r="Z66" i="1"/>
  <c r="W66" i="1"/>
  <c r="Z65" i="1"/>
  <c r="W65" i="1"/>
  <c r="Z64" i="1"/>
  <c r="W64" i="1"/>
  <c r="Z63" i="1"/>
  <c r="W63" i="1"/>
  <c r="Z62" i="1"/>
  <c r="W62" i="1"/>
  <c r="Z61" i="1"/>
  <c r="W61" i="1"/>
  <c r="Z60" i="1"/>
  <c r="W60" i="1"/>
  <c r="Z59" i="1"/>
  <c r="W59" i="1"/>
  <c r="Z58" i="1"/>
  <c r="W58" i="1"/>
  <c r="Z57" i="1"/>
  <c r="W57" i="1"/>
  <c r="Z56" i="1"/>
  <c r="W56" i="1"/>
  <c r="Z55" i="1"/>
  <c r="W55" i="1"/>
  <c r="Z54" i="1"/>
  <c r="W54" i="1"/>
  <c r="Z53" i="1"/>
  <c r="W53" i="1"/>
  <c r="Z52" i="1"/>
  <c r="W52" i="1"/>
  <c r="Z51" i="1"/>
  <c r="W51" i="1"/>
  <c r="Z50" i="1"/>
  <c r="W50" i="1"/>
  <c r="Z49" i="1"/>
  <c r="W49" i="1"/>
  <c r="Z48" i="1"/>
  <c r="W48" i="1"/>
  <c r="Z47" i="1"/>
  <c r="W47" i="1"/>
  <c r="Z46" i="1"/>
  <c r="W46" i="1"/>
  <c r="Z45" i="1"/>
  <c r="W45" i="1"/>
  <c r="Z44" i="1"/>
  <c r="W44" i="1"/>
  <c r="Z43" i="1"/>
  <c r="W43" i="1"/>
  <c r="Z42" i="1"/>
  <c r="W42" i="1"/>
  <c r="Z41" i="1"/>
  <c r="W41" i="1"/>
  <c r="Z40" i="1"/>
  <c r="W40" i="1"/>
  <c r="Z39" i="1"/>
  <c r="W39" i="1"/>
  <c r="Z38" i="1"/>
  <c r="W38" i="1"/>
  <c r="Z37" i="1"/>
  <c r="W37" i="1"/>
  <c r="Z36" i="1"/>
  <c r="W36" i="1"/>
  <c r="Z35" i="1"/>
  <c r="W35" i="1"/>
  <c r="Z34" i="1"/>
  <c r="W34" i="1"/>
  <c r="Z33" i="1"/>
  <c r="W33" i="1"/>
  <c r="Z32" i="1"/>
  <c r="W32" i="1"/>
  <c r="Z31" i="1"/>
  <c r="W31" i="1"/>
  <c r="Z30" i="1"/>
  <c r="W30" i="1"/>
  <c r="Z29" i="1"/>
  <c r="W29" i="1"/>
  <c r="Z28" i="1"/>
  <c r="W28" i="1"/>
  <c r="Z27" i="1"/>
  <c r="W27" i="1"/>
  <c r="Z26" i="1"/>
  <c r="W26" i="1"/>
  <c r="Z25" i="1"/>
  <c r="W25" i="1"/>
  <c r="Z24" i="1"/>
  <c r="W24" i="1"/>
  <c r="Z23" i="1"/>
  <c r="W23" i="1"/>
  <c r="Z22" i="1"/>
  <c r="W22" i="1"/>
  <c r="Z21" i="1"/>
  <c r="W21" i="1"/>
  <c r="Z20" i="1"/>
  <c r="W20" i="1"/>
  <c r="Z19" i="1"/>
  <c r="W19" i="1"/>
  <c r="Z18" i="1"/>
  <c r="W18" i="1"/>
  <c r="Z17" i="1"/>
  <c r="W17" i="1"/>
  <c r="Z16" i="1"/>
  <c r="W16" i="1"/>
  <c r="Z15" i="1"/>
  <c r="W15" i="1"/>
  <c r="Z14" i="1"/>
  <c r="W14" i="1"/>
  <c r="Z13" i="1"/>
  <c r="W13" i="1"/>
  <c r="Z12" i="1"/>
  <c r="W12" i="1"/>
  <c r="Z11" i="1"/>
  <c r="W11" i="1"/>
  <c r="Z10" i="1"/>
  <c r="W10" i="1"/>
  <c r="Z9" i="1"/>
  <c r="W9" i="1"/>
  <c r="Z8" i="1"/>
  <c r="W8" i="1"/>
  <c r="Z7" i="1"/>
  <c r="W7" i="1"/>
  <c r="Z6" i="1"/>
  <c r="W6" i="1"/>
  <c r="Z5" i="1"/>
  <c r="W5" i="1"/>
  <c r="Z4" i="1"/>
  <c r="W4" i="1"/>
  <c r="Z3" i="1"/>
  <c r="W3" i="1"/>
  <c r="Z2" i="1"/>
  <c r="W2" i="1"/>
</calcChain>
</file>

<file path=xl/sharedStrings.xml><?xml version="1.0" encoding="utf-8"?>
<sst xmlns="http://schemas.openxmlformats.org/spreadsheetml/2006/main" count="2211" uniqueCount="462">
  <si>
    <t>Skupina ploch</t>
  </si>
  <si>
    <t>Plocha</t>
  </si>
  <si>
    <t>Číslo</t>
  </si>
  <si>
    <t>Číslo štítku</t>
  </si>
  <si>
    <t>Taxon lat.</t>
  </si>
  <si>
    <t>Taxon čes.</t>
  </si>
  <si>
    <t>Průměr kmene 1</t>
  </si>
  <si>
    <t>Průměr kmene 2</t>
  </si>
  <si>
    <t>Průměr kmene 3</t>
  </si>
  <si>
    <t>Průměr kmene 4</t>
  </si>
  <si>
    <t>Výška</t>
  </si>
  <si>
    <t>Spodní okraj koruny</t>
  </si>
  <si>
    <t>Průměr koruny</t>
  </si>
  <si>
    <t>Fyziologické stáří</t>
  </si>
  <si>
    <t>Perspektiva</t>
  </si>
  <si>
    <t>Vitalita</t>
  </si>
  <si>
    <t>Stabilita zlom</t>
  </si>
  <si>
    <t>Zdravotní stav</t>
  </si>
  <si>
    <t>Poznámka</t>
  </si>
  <si>
    <t>Katastrální území</t>
  </si>
  <si>
    <t>Parcela</t>
  </si>
  <si>
    <t>Naléhavost</t>
  </si>
  <si>
    <t>URL</t>
  </si>
  <si>
    <t>X</t>
  </si>
  <si>
    <t>Y</t>
  </si>
  <si>
    <t>Odkaz na Mapy.cz</t>
  </si>
  <si>
    <t>Ústí nad Labem 2023 - LEVÝ BŘEH</t>
  </si>
  <si>
    <t>Populus x canadensis</t>
  </si>
  <si>
    <t>topol kanadský</t>
  </si>
  <si>
    <t>59</t>
  </si>
  <si>
    <t>25,0</t>
  </si>
  <si>
    <t>4,0</t>
  </si>
  <si>
    <t>8</t>
  </si>
  <si>
    <t>4</t>
  </si>
  <si>
    <t>c</t>
  </si>
  <si>
    <t>2</t>
  </si>
  <si>
    <t>3</t>
  </si>
  <si>
    <t>Nakloněný kmen. Infekce báze kmene.</t>
  </si>
  <si>
    <t>Kácení stromů s přetažením</t>
  </si>
  <si>
    <t>Robinia pseudoacacia</t>
  </si>
  <si>
    <t>trnovník bílý</t>
  </si>
  <si>
    <t>16</t>
  </si>
  <si>
    <t>9,0</t>
  </si>
  <si>
    <t>1,0</t>
  </si>
  <si>
    <t>6</t>
  </si>
  <si>
    <t>b</t>
  </si>
  <si>
    <t>1</t>
  </si>
  <si>
    <t>Nevhodná struktura větvení.</t>
  </si>
  <si>
    <t>Kácení stromů volné</t>
  </si>
  <si>
    <t>12</t>
  </si>
  <si>
    <t>10</t>
  </si>
  <si>
    <t>9</t>
  </si>
  <si>
    <t>7</t>
  </si>
  <si>
    <t>8,0</t>
  </si>
  <si>
    <t>mapa č.10 - LB</t>
  </si>
  <si>
    <t>53</t>
  </si>
  <si>
    <t>52</t>
  </si>
  <si>
    <t>41</t>
  </si>
  <si>
    <t>18,0</t>
  </si>
  <si>
    <t>Infekce báze kmene. Tlaková vidlice od báze.</t>
  </si>
  <si>
    <t>Prackovice nad Labem</t>
  </si>
  <si>
    <t>17</t>
  </si>
  <si>
    <t>11,0</t>
  </si>
  <si>
    <t>2,0</t>
  </si>
  <si>
    <t>Salix  sp.</t>
  </si>
  <si>
    <t>vrba</t>
  </si>
  <si>
    <t>34</t>
  </si>
  <si>
    <t>42</t>
  </si>
  <si>
    <t>15,0</t>
  </si>
  <si>
    <t>Postupné kácení s volnou dopadovou plochou</t>
  </si>
  <si>
    <t>Alnus glutinosa</t>
  </si>
  <si>
    <t>olše lepkavá</t>
  </si>
  <si>
    <t>37</t>
  </si>
  <si>
    <t>32</t>
  </si>
  <si>
    <t>25</t>
  </si>
  <si>
    <t>17,0</t>
  </si>
  <si>
    <t>26</t>
  </si>
  <si>
    <t>16,0</t>
  </si>
  <si>
    <t>6,0</t>
  </si>
  <si>
    <t>60</t>
  </si>
  <si>
    <t>47</t>
  </si>
  <si>
    <t>12,0</t>
  </si>
  <si>
    <t>0,0</t>
  </si>
  <si>
    <t>43</t>
  </si>
  <si>
    <t>39</t>
  </si>
  <si>
    <t>24</t>
  </si>
  <si>
    <t>19,0</t>
  </si>
  <si>
    <t>23</t>
  </si>
  <si>
    <t>Infekce báze kmene. Nakloněný kmen.</t>
  </si>
  <si>
    <t>22</t>
  </si>
  <si>
    <t>20</t>
  </si>
  <si>
    <t>18</t>
  </si>
  <si>
    <t>14,0</t>
  </si>
  <si>
    <t>21</t>
  </si>
  <si>
    <t>58</t>
  </si>
  <si>
    <t>35</t>
  </si>
  <si>
    <t>13</t>
  </si>
  <si>
    <t>5</t>
  </si>
  <si>
    <t>Zcela odumřelý.</t>
  </si>
  <si>
    <t>Fraxinus pennsylvanica</t>
  </si>
  <si>
    <t>jasan pensylvánský</t>
  </si>
  <si>
    <t>38</t>
  </si>
  <si>
    <t>10,0</t>
  </si>
  <si>
    <t>33</t>
  </si>
  <si>
    <t>29</t>
  </si>
  <si>
    <t>20,0</t>
  </si>
  <si>
    <t>3,0</t>
  </si>
  <si>
    <t>11</t>
  </si>
  <si>
    <t>a</t>
  </si>
  <si>
    <t>28</t>
  </si>
  <si>
    <t>30</t>
  </si>
  <si>
    <t>Infekce báze kmene. Dynamicky prosychá.</t>
  </si>
  <si>
    <t>Fraxinus excelsior</t>
  </si>
  <si>
    <t>jasan ztepilý</t>
  </si>
  <si>
    <t>27</t>
  </si>
  <si>
    <t>13,0</t>
  </si>
  <si>
    <t>5,0</t>
  </si>
  <si>
    <t>Tlaková vidlice vyvíjející se.</t>
  </si>
  <si>
    <t>96</t>
  </si>
  <si>
    <t>22,0</t>
  </si>
  <si>
    <t>15</t>
  </si>
  <si>
    <t>31</t>
  </si>
  <si>
    <t>54</t>
  </si>
  <si>
    <t>82</t>
  </si>
  <si>
    <t>36</t>
  </si>
  <si>
    <t>40</t>
  </si>
  <si>
    <t>1159354</t>
  </si>
  <si>
    <t>Tlaková vidlice v kosterním větvení. Infekce báze kmene.</t>
  </si>
  <si>
    <t>960/1</t>
  </si>
  <si>
    <t>1159356</t>
  </si>
  <si>
    <t>Ulmus laevis</t>
  </si>
  <si>
    <t>jilm vaz</t>
  </si>
  <si>
    <t>46</t>
  </si>
  <si>
    <t>Z větší části odumřelý. Tlaková vidlice od báze vyvíjející se.</t>
  </si>
  <si>
    <t>1159357</t>
  </si>
  <si>
    <t>45</t>
  </si>
  <si>
    <t>49</t>
  </si>
  <si>
    <t>1159373</t>
  </si>
  <si>
    <t>109</t>
  </si>
  <si>
    <t>Výletové otvory od ptáků. Infekce kosterního větvení.</t>
  </si>
  <si>
    <t>Ústí nad Labem 2023 - PRAVÝ BŘEH</t>
  </si>
  <si>
    <t>Salix alba</t>
  </si>
  <si>
    <t>vrba bílá</t>
  </si>
  <si>
    <t>Libochovany</t>
  </si>
  <si>
    <t>14</t>
  </si>
  <si>
    <t>mapa č.12 - PB</t>
  </si>
  <si>
    <t>1408/1</t>
  </si>
  <si>
    <t>1159818</t>
  </si>
  <si>
    <t>Infekce báze kmene. Asymetrická koruna. Nakloněný kmen.</t>
  </si>
  <si>
    <t>19</t>
  </si>
  <si>
    <t>1408/3</t>
  </si>
  <si>
    <t>1159834</t>
  </si>
  <si>
    <t>Rozsáhlá infekce báze kmene. Vyvracející se.</t>
  </si>
  <si>
    <t>1159839</t>
  </si>
  <si>
    <t>Z větší části odumřelý.</t>
  </si>
  <si>
    <t>7,0</t>
  </si>
  <si>
    <t>1159842</t>
  </si>
  <si>
    <t>66</t>
  </si>
  <si>
    <t>Infekce větví. Infekce kmene.</t>
  </si>
  <si>
    <t>mapa č.13 - PB</t>
  </si>
  <si>
    <t>1409</t>
  </si>
  <si>
    <t>Torzo.</t>
  </si>
  <si>
    <t>1159735</t>
  </si>
  <si>
    <t>90</t>
  </si>
  <si>
    <t>63</t>
  </si>
  <si>
    <t>27,0</t>
  </si>
  <si>
    <t>1159746</t>
  </si>
  <si>
    <t>67</t>
  </si>
  <si>
    <t>1159752</t>
  </si>
  <si>
    <t>Infekce báze kmene.</t>
  </si>
  <si>
    <t>75</t>
  </si>
  <si>
    <t>28,0</t>
  </si>
  <si>
    <t>1361</t>
  </si>
  <si>
    <t>1159766</t>
  </si>
  <si>
    <t>mapa č.14 - PB</t>
  </si>
  <si>
    <t>1410/2</t>
  </si>
  <si>
    <t>50</t>
  </si>
  <si>
    <t>24,0</t>
  </si>
  <si>
    <t>1159692</t>
  </si>
  <si>
    <t>26,0</t>
  </si>
  <si>
    <t>Tlaková vidlice od báze.</t>
  </si>
  <si>
    <t>Malé Žernoseky</t>
  </si>
  <si>
    <t>1342/1</t>
  </si>
  <si>
    <t>mapa č.16 - PB</t>
  </si>
  <si>
    <t>Velké Žernoseky</t>
  </si>
  <si>
    <t>1314/1</t>
  </si>
  <si>
    <t>1321/1</t>
  </si>
  <si>
    <t>1159868</t>
  </si>
  <si>
    <t>Infekce báze kmene. Podezření na infekci kořenů. Nakloněný kmen. Dynamicky prosychá.</t>
  </si>
  <si>
    <t>Infekce báze kmene. Podezření na infekci kořenů.</t>
  </si>
  <si>
    <t>1159896</t>
  </si>
  <si>
    <t>Rozvolnění skupiny. Asymetrická koruna.</t>
  </si>
  <si>
    <t>Potlačený jedinec.</t>
  </si>
  <si>
    <t>1159927</t>
  </si>
  <si>
    <t>Asymetrická koruna. Rozvolnění skupiny.</t>
  </si>
  <si>
    <t>1159943</t>
  </si>
  <si>
    <t>Dynamicky prosychá. Podezření na infekci kořenů.</t>
  </si>
  <si>
    <t>1159976</t>
  </si>
  <si>
    <t>1159977</t>
  </si>
  <si>
    <t>1159987</t>
  </si>
  <si>
    <t>1159992</t>
  </si>
  <si>
    <t>Malus  sp.</t>
  </si>
  <si>
    <t>jabloň</t>
  </si>
  <si>
    <t>1159999</t>
  </si>
  <si>
    <t>Postupné kácení s překážkou v dopadové ploše</t>
  </si>
  <si>
    <t>mapa č.19 - LB</t>
  </si>
  <si>
    <t>1159408</t>
  </si>
  <si>
    <t>106</t>
  </si>
  <si>
    <t>Trhliny. Infekce báze kmene. Podezření na infekci kořenů.</t>
  </si>
  <si>
    <t>1159411</t>
  </si>
  <si>
    <t>61</t>
  </si>
  <si>
    <t>1159422</t>
  </si>
  <si>
    <t>Poškození kořenů. Infekce báze kmene. Tlaková vidlice od báze vyvíjející se. Poškozuje chodník.</t>
  </si>
  <si>
    <t>78</t>
  </si>
  <si>
    <t>21,0</t>
  </si>
  <si>
    <t>62</t>
  </si>
  <si>
    <t>55</t>
  </si>
  <si>
    <t>56</t>
  </si>
  <si>
    <t>65</t>
  </si>
  <si>
    <t>48</t>
  </si>
  <si>
    <t>81</t>
  </si>
  <si>
    <t>Nevhodná struktura větvení. Tlaková vidlice od báze.</t>
  </si>
  <si>
    <t>57</t>
  </si>
  <si>
    <t>Podezření na infekci kořenů. Infekce báze kmene.</t>
  </si>
  <si>
    <t>30,0</t>
  </si>
  <si>
    <t>mapa č.21 - PB</t>
  </si>
  <si>
    <t>Píšťany</t>
  </si>
  <si>
    <t>291/1</t>
  </si>
  <si>
    <t>1160270</t>
  </si>
  <si>
    <t>51</t>
  </si>
  <si>
    <t>Tlaková vidlice s trhlinou.</t>
  </si>
  <si>
    <t>104</t>
  </si>
  <si>
    <t>Salix fragilis</t>
  </si>
  <si>
    <t>vrba křehká</t>
  </si>
  <si>
    <t>87</t>
  </si>
  <si>
    <t>83</t>
  </si>
  <si>
    <t>1050077</t>
  </si>
  <si>
    <t>Infekce kmene. Z větší části odumřelý. Výletové otvory od ptáků.</t>
  </si>
  <si>
    <t>1050085</t>
  </si>
  <si>
    <t>70</t>
  </si>
  <si>
    <t>mapa č.22 - LB</t>
  </si>
  <si>
    <t>Lhotka nad Labem</t>
  </si>
  <si>
    <t>565/5</t>
  </si>
  <si>
    <t>1159426</t>
  </si>
  <si>
    <t>Nakloněný kmen. Odlomená část koruny.</t>
  </si>
  <si>
    <t>1159427</t>
  </si>
  <si>
    <t>Nakloněný kmen.</t>
  </si>
  <si>
    <t>1159435</t>
  </si>
  <si>
    <t>Nakloněný kmen. Asymetrická koruna.</t>
  </si>
  <si>
    <t>1159436</t>
  </si>
  <si>
    <t>1159437</t>
  </si>
  <si>
    <t>Pařezové výmladky.</t>
  </si>
  <si>
    <t>1159440</t>
  </si>
  <si>
    <t>1159441</t>
  </si>
  <si>
    <t>1159442</t>
  </si>
  <si>
    <t>Nakloněný kmen. Příliš vykloněný.</t>
  </si>
  <si>
    <t>mapa č.23 - LB</t>
  </si>
  <si>
    <t>1159443</t>
  </si>
  <si>
    <t>Infekce kmene. Poškození kořenů.</t>
  </si>
  <si>
    <t>1159448</t>
  </si>
  <si>
    <t>Potlačený jedinec. Infekce báze kmene. Odlomená část koruny.</t>
  </si>
  <si>
    <t>1159453</t>
  </si>
  <si>
    <t>1159455</t>
  </si>
  <si>
    <t>Poškození kořenů. Infekce báze kmene.</t>
  </si>
  <si>
    <t>1159457</t>
  </si>
  <si>
    <t>Asymetrická koruna. Bez sousedního stromu může být nestabilní.</t>
  </si>
  <si>
    <t>1159460</t>
  </si>
  <si>
    <t>1159461</t>
  </si>
  <si>
    <t>1159462</t>
  </si>
  <si>
    <t>Infekce báze kmene. Odlomená část koruny.</t>
  </si>
  <si>
    <t>1159467</t>
  </si>
  <si>
    <t>60,0</t>
  </si>
  <si>
    <t>1159472</t>
  </si>
  <si>
    <t>mapa č.24 - LB</t>
  </si>
  <si>
    <t>1159490</t>
  </si>
  <si>
    <t>Lovosice</t>
  </si>
  <si>
    <t>307/1</t>
  </si>
  <si>
    <t>mapa č.25 - LB</t>
  </si>
  <si>
    <t>1159476</t>
  </si>
  <si>
    <t>307/3</t>
  </si>
  <si>
    <t>1159478</t>
  </si>
  <si>
    <t>Sekundární koruna.</t>
  </si>
  <si>
    <t>1689/4</t>
  </si>
  <si>
    <t>1689/3</t>
  </si>
  <si>
    <t>1159485</t>
  </si>
  <si>
    <t>mapa č.26 - LB</t>
  </si>
  <si>
    <t>Juglans regia</t>
  </si>
  <si>
    <t>ořešák královský</t>
  </si>
  <si>
    <t>2965</t>
  </si>
  <si>
    <t>1164036</t>
  </si>
  <si>
    <t>76</t>
  </si>
  <si>
    <t>Odlomená část koruny. Infekce báze kmene. Podezření na infekci kořenů.</t>
  </si>
  <si>
    <t>1164040</t>
  </si>
  <si>
    <t>Odlomená část koruny. Poškození kmene. Asymetrická koruna. Infekce báze kmene s dutinou.</t>
  </si>
  <si>
    <t>1164044</t>
  </si>
  <si>
    <t>Rozsáhlá infekce báze kmene s dutinou. Podezření na infekci kořenů. Silné suché větve v koruně. Infekce větví.</t>
  </si>
  <si>
    <t>1164046</t>
  </si>
  <si>
    <t>1164048</t>
  </si>
  <si>
    <t>Odlomená podstatná část koruny. Infekce báze kmene.</t>
  </si>
  <si>
    <t>1164050</t>
  </si>
  <si>
    <t>1164051</t>
  </si>
  <si>
    <t>Odlomená část koruny. Asymetrická koruna. Neperspektivní.</t>
  </si>
  <si>
    <t>1164052</t>
  </si>
  <si>
    <t>1164053</t>
  </si>
  <si>
    <t>1164057</t>
  </si>
  <si>
    <t>Rozsáhlá infekce kmene. Infekce kosterního větvení. Infekce větví.</t>
  </si>
  <si>
    <t>1164059</t>
  </si>
  <si>
    <t>1164063</t>
  </si>
  <si>
    <t>2960/1</t>
  </si>
  <si>
    <t>1164066</t>
  </si>
  <si>
    <t>1164067</t>
  </si>
  <si>
    <t>Rozsáhlá infekce kmene. Odlomená část koruny. De facto torzo.</t>
  </si>
  <si>
    <t>1164076</t>
  </si>
  <si>
    <t>Rozsáhlá infekce kmene. Podezření na infekci kořenů. Z větší části odumřelý.</t>
  </si>
  <si>
    <t>1164084</t>
  </si>
  <si>
    <t>Aesculus hippocastanum</t>
  </si>
  <si>
    <t>jírovec maďal</t>
  </si>
  <si>
    <t>Odlomená podstatná část koruny. De facto torzo.</t>
  </si>
  <si>
    <t>2961</t>
  </si>
  <si>
    <t>1164087</t>
  </si>
  <si>
    <t>Acer campestre</t>
  </si>
  <si>
    <t>javor polní</t>
  </si>
  <si>
    <t>1164092</t>
  </si>
  <si>
    <t>Rozsáhlá infekce kmene a kořenů. Infekce kosterního větvení. Infekce větví.</t>
  </si>
  <si>
    <t>1164095</t>
  </si>
  <si>
    <t>1164116</t>
  </si>
  <si>
    <t>Acer pseudoplatanus</t>
  </si>
  <si>
    <t>javor horský</t>
  </si>
  <si>
    <t>Poškození a infekce kmene. Z části odumřelý. Podezření na infekci kořenů.</t>
  </si>
  <si>
    <t>2957/1</t>
  </si>
  <si>
    <t>1164128</t>
  </si>
  <si>
    <t>Torzo..Výletové otvory od ptáků.</t>
  </si>
  <si>
    <t>1164133</t>
  </si>
  <si>
    <t>Torzo. Výletové otvory od ptáků.</t>
  </si>
  <si>
    <t>1164212</t>
  </si>
  <si>
    <t>2958</t>
  </si>
  <si>
    <t>1164211</t>
  </si>
  <si>
    <t>2962/1, s. 1</t>
  </si>
  <si>
    <t>1164207</t>
  </si>
  <si>
    <t>Litoměřice</t>
  </si>
  <si>
    <t>mapa č.36 - PB</t>
  </si>
  <si>
    <t>1163937</t>
  </si>
  <si>
    <t>Z větší části odumřelý. Silné suché větve v koruně.</t>
  </si>
  <si>
    <t>4707</t>
  </si>
  <si>
    <t>4701</t>
  </si>
  <si>
    <t>1163946</t>
  </si>
  <si>
    <t>Rozsáhlá infekce kmene. Silné suché větve v koruně. Defektní větvení.</t>
  </si>
  <si>
    <t>mapa č.37 - PB</t>
  </si>
  <si>
    <t>1163910</t>
  </si>
  <si>
    <t>Výrazně asymetrická korunách nakloněný kmen. Neperspektivní.</t>
  </si>
  <si>
    <t>4687/1</t>
  </si>
  <si>
    <t>1163915</t>
  </si>
  <si>
    <t>Z větší části odumřelý. Asymetrická koruna. Nakloněný kmen.</t>
  </si>
  <si>
    <t>Nučničky</t>
  </si>
  <si>
    <t>240</t>
  </si>
  <si>
    <t>217/1</t>
  </si>
  <si>
    <t>mapa č.44 - LB</t>
  </si>
  <si>
    <t>1160542</t>
  </si>
  <si>
    <t>1160553</t>
  </si>
  <si>
    <t>1160556</t>
  </si>
  <si>
    <t>1160571</t>
  </si>
  <si>
    <t>1160587</t>
  </si>
  <si>
    <t>241</t>
  </si>
  <si>
    <t>1160591</t>
  </si>
  <si>
    <t>1160594</t>
  </si>
  <si>
    <t>1160599</t>
  </si>
  <si>
    <t>217/2</t>
  </si>
  <si>
    <t>mapa č.45 - PB</t>
  </si>
  <si>
    <t>Lounky</t>
  </si>
  <si>
    <t>438</t>
  </si>
  <si>
    <t>1162891</t>
  </si>
  <si>
    <t>Asymetrická koruna. Nakloněný kmen. Trhliny na kmeni - selhává.</t>
  </si>
  <si>
    <t>mapa č.5 - PB</t>
  </si>
  <si>
    <t>Brná nad Labem</t>
  </si>
  <si>
    <t>1159621</t>
  </si>
  <si>
    <t>Infekce kmene. Dutina ve kmeni.</t>
  </si>
  <si>
    <t>803/1</t>
  </si>
  <si>
    <t>mapa č.58 - LB</t>
  </si>
  <si>
    <t>1164139</t>
  </si>
  <si>
    <t>Asymetrická koruna. Nakloněný kmen. Infekce větví.</t>
  </si>
  <si>
    <t>1688/1</t>
  </si>
  <si>
    <t>1164152</t>
  </si>
  <si>
    <t>126</t>
  </si>
  <si>
    <t>Rozsáhlá infekce báze kmene a kořenů.</t>
  </si>
  <si>
    <t>1164154</t>
  </si>
  <si>
    <t>Infekce kosterního větvení. Infekce kmene. Infikovaná kosterní větev silné nakloněna nad tok.</t>
  </si>
  <si>
    <t>1164157</t>
  </si>
  <si>
    <t>Rozsáhlá infekce kmenem kosterního větvení. Odlomená část koruny.</t>
  </si>
  <si>
    <t>1164161</t>
  </si>
  <si>
    <t>1164162</t>
  </si>
  <si>
    <t>Dynamicky prosychá. Suchý vrchol. Odlomená část koruny.</t>
  </si>
  <si>
    <t>1164166</t>
  </si>
  <si>
    <t>Asymetrická koruna. Nakloněný kmen. Jeden z kmenů zcela odumřelý.</t>
  </si>
  <si>
    <t>1164167</t>
  </si>
  <si>
    <t>1164169</t>
  </si>
  <si>
    <t>Jeden z kmenů odumřelý.</t>
  </si>
  <si>
    <t>1164171</t>
  </si>
  <si>
    <t>Zcela odumřelý. Asymetrická koruna.</t>
  </si>
  <si>
    <t>1164180</t>
  </si>
  <si>
    <t>1164188</t>
  </si>
  <si>
    <t>mapa č.7 - PB</t>
  </si>
  <si>
    <t>1159630</t>
  </si>
  <si>
    <t>Infekce kmene. Trhliny.</t>
  </si>
  <si>
    <t>802/2</t>
  </si>
  <si>
    <t>Sebuzín</t>
  </si>
  <si>
    <t>mapa č.8 - PB</t>
  </si>
  <si>
    <t>1159663</t>
  </si>
  <si>
    <t>Odlomená podstatná část koruny. Nakloněný kmen. De facto torzo.</t>
  </si>
  <si>
    <t>1494</t>
  </si>
  <si>
    <t>mapa č.9 - LB</t>
  </si>
  <si>
    <t>Dolní Zálezly</t>
  </si>
  <si>
    <t>454</t>
  </si>
  <si>
    <t>1159221</t>
  </si>
  <si>
    <t>Tlaková vidlice od báze. Infekce větví.</t>
  </si>
  <si>
    <t>1159222</t>
  </si>
  <si>
    <t>Tlaková vidlice od báze vyvíjející se. Infekce kmene. Poškození kmene.</t>
  </si>
  <si>
    <t xml:space="preserve">aktuální stav </t>
  </si>
  <si>
    <t>7 m torzo</t>
  </si>
  <si>
    <t>kmen 61 cm ponechat, ostatní 2 - 3 m torzo</t>
  </si>
  <si>
    <t>torzo 3 m</t>
  </si>
  <si>
    <t xml:space="preserve">torzace 2 - 3 m </t>
  </si>
  <si>
    <t xml:space="preserve">kmeny nad cyklo pokácet, ostatní ponechat </t>
  </si>
  <si>
    <t xml:space="preserve"> Robinia pseudoacacia</t>
  </si>
  <si>
    <t>Celkem:</t>
  </si>
  <si>
    <t>Kácení dřevin</t>
  </si>
  <si>
    <t>Ceníkový kód</t>
  </si>
  <si>
    <t>9VC3082</t>
  </si>
  <si>
    <t>9VC3093</t>
  </si>
  <si>
    <t>9VC3081</t>
  </si>
  <si>
    <t>9VC3090</t>
  </si>
  <si>
    <t>9VC3080</t>
  </si>
  <si>
    <t>9VC3083</t>
  </si>
  <si>
    <t>9VC3084</t>
  </si>
  <si>
    <t>9VC3092</t>
  </si>
  <si>
    <t>9VC3141</t>
  </si>
  <si>
    <t>9VC3085</t>
  </si>
  <si>
    <t>9VC3091</t>
  </si>
  <si>
    <t>9VC3089</t>
  </si>
  <si>
    <t>2 x trmovmík</t>
  </si>
  <si>
    <t>9VC3102</t>
  </si>
  <si>
    <t>9VC3099</t>
  </si>
  <si>
    <t>9VC3230</t>
  </si>
  <si>
    <t>9VC3227</t>
  </si>
  <si>
    <t>9VC3152</t>
  </si>
  <si>
    <t>9VC0861</t>
  </si>
  <si>
    <t>9VC3280</t>
  </si>
  <si>
    <t>9VC3281</t>
  </si>
  <si>
    <t>9VC3279</t>
  </si>
  <si>
    <t>9VC3282</t>
  </si>
  <si>
    <t>9VC3283</t>
  </si>
  <si>
    <t>9VC3284</t>
  </si>
  <si>
    <t xml:space="preserve">Kácení stromů s přetažením </t>
  </si>
  <si>
    <t xml:space="preserve">Vyšší pařez 1 m - kácení stromů </t>
  </si>
  <si>
    <t xml:space="preserve">ponechat a kontrolovat, zdravý kmen seříznout 1 m nad rozdvojením </t>
  </si>
  <si>
    <t xml:space="preserve">Poznámka: </t>
  </si>
  <si>
    <t xml:space="preserve">zhotovitel doplní žlutě podbarvená pole </t>
  </si>
  <si>
    <t>Cena Kč bez DPH</t>
  </si>
  <si>
    <r>
      <t>Doprava listnaté kulatiny na odběrné místo (185 m</t>
    </r>
    <r>
      <rPr>
        <vertAlign val="superscript"/>
        <sz val="8"/>
        <color theme="1"/>
        <rFont val="Arial"/>
        <family val="2"/>
        <charset val="238"/>
      </rPr>
      <t>3</t>
    </r>
    <r>
      <rPr>
        <sz val="8"/>
        <color theme="1"/>
        <rFont val="Arial"/>
        <family val="2"/>
        <charset val="238"/>
      </rPr>
      <t>)</t>
    </r>
  </si>
  <si>
    <r>
      <t>Vodorovné přemístění do 500 m (100 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)</t>
    </r>
  </si>
  <si>
    <r>
      <t>Manipulace s dřevní hmotou (185 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)</t>
    </r>
  </si>
  <si>
    <r>
      <t>odhadované množství dřevní hmoty (m</t>
    </r>
    <r>
      <rPr>
        <b/>
        <vertAlign val="superscript"/>
        <sz val="9"/>
        <rFont val="Arial"/>
        <family val="2"/>
        <charset val="238"/>
      </rPr>
      <t>3</t>
    </r>
    <r>
      <rPr>
        <b/>
        <sz val="9"/>
        <color indexed="0"/>
        <rFont val="Arial"/>
        <family val="2"/>
        <charset val="238"/>
      </rPr>
      <t>)</t>
    </r>
  </si>
  <si>
    <r>
      <t>Štěpkování (30 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</si>
</sst>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b/>
      <sz val="9"/>
      <color indexed="0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vertAlign val="superscript"/>
      <sz val="8"/>
      <name val="Arial"/>
      <family val="2"/>
      <charset val="238"/>
    </font>
    <font>
      <b/>
      <vertAlign val="superscript"/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4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9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2" borderId="12" xfId="0" applyFont="1" applyFill="1" applyBorder="1" applyAlignment="1" applyProtection="1">
      <alignment horizontal="left" textRotation="90"/>
    </xf>
    <xf numFmtId="0" fontId="1" fillId="2" borderId="13" xfId="0" applyFont="1" applyFill="1" applyBorder="1" applyAlignment="1" applyProtection="1">
      <alignment horizontal="center" textRotation="90"/>
    </xf>
    <xf numFmtId="0" fontId="1" fillId="2" borderId="13" xfId="0" applyFont="1" applyFill="1" applyBorder="1" applyAlignment="1" applyProtection="1">
      <alignment horizontal="right" textRotation="90"/>
    </xf>
    <xf numFmtId="0" fontId="1" fillId="2" borderId="13" xfId="0" applyFont="1" applyFill="1" applyBorder="1" applyAlignment="1" applyProtection="1">
      <alignment horizontal="left" textRotation="90"/>
    </xf>
    <xf numFmtId="0" fontId="1" fillId="2" borderId="17" xfId="0" applyFont="1" applyFill="1" applyBorder="1" applyAlignment="1" applyProtection="1">
      <alignment horizontal="left" textRotation="90"/>
    </xf>
    <xf numFmtId="0" fontId="2" fillId="3" borderId="3" xfId="0" applyFont="1" applyFill="1" applyBorder="1" applyAlignment="1">
      <alignment wrapText="1"/>
    </xf>
    <xf numFmtId="0" fontId="2" fillId="3" borderId="5" xfId="0" applyFont="1" applyFill="1" applyBorder="1" applyAlignment="1">
      <alignment wrapText="1"/>
    </xf>
    <xf numFmtId="0" fontId="2" fillId="3" borderId="4" xfId="0" applyFont="1" applyFill="1" applyBorder="1" applyAlignment="1">
      <alignment wrapText="1"/>
    </xf>
    <xf numFmtId="0" fontId="3" fillId="0" borderId="0" xfId="0" applyFont="1"/>
    <xf numFmtId="0" fontId="2" fillId="3" borderId="1" xfId="0" applyFont="1" applyFill="1" applyBorder="1" applyAlignment="1">
      <alignment wrapText="1"/>
    </xf>
    <xf numFmtId="0" fontId="4" fillId="0" borderId="0" xfId="0" applyFont="1"/>
    <xf numFmtId="0" fontId="3" fillId="3" borderId="9" xfId="0" applyFont="1" applyFill="1" applyBorder="1" applyAlignment="1" applyProtection="1">
      <alignment horizontal="left" vertical="center" wrapText="1"/>
    </xf>
    <xf numFmtId="0" fontId="3" fillId="3" borderId="3" xfId="0" applyFont="1" applyFill="1" applyBorder="1" applyAlignment="1" applyProtection="1">
      <alignment horizontal="left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right" vertical="center" wrapText="1"/>
    </xf>
    <xf numFmtId="0" fontId="7" fillId="3" borderId="3" xfId="0" applyFont="1" applyFill="1" applyBorder="1" applyAlignment="1" applyProtection="1">
      <alignment horizontal="left" vertical="center" wrapText="1"/>
    </xf>
    <xf numFmtId="0" fontId="3" fillId="4" borderId="3" xfId="0" applyFont="1" applyFill="1" applyBorder="1" applyAlignment="1" applyProtection="1">
      <alignment horizontal="center" vertical="center" wrapText="1"/>
    </xf>
    <xf numFmtId="0" fontId="3" fillId="4" borderId="3" xfId="0" applyFont="1" applyFill="1" applyBorder="1" applyAlignment="1" applyProtection="1">
      <alignment horizontal="left" vertical="center" wrapText="1"/>
    </xf>
    <xf numFmtId="0" fontId="3" fillId="0" borderId="9" xfId="0" applyFont="1" applyFill="1" applyBorder="1" applyAlignment="1" applyProtection="1">
      <alignment horizontal="left" vertical="center" wrapText="1"/>
    </xf>
    <xf numFmtId="0" fontId="3" fillId="0" borderId="3" xfId="0" applyFont="1" applyFill="1" applyBorder="1" applyAlignment="1" applyProtection="1">
      <alignment horizontal="left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right" vertical="center" wrapText="1"/>
    </xf>
    <xf numFmtId="0" fontId="7" fillId="0" borderId="3" xfId="0" applyFont="1" applyFill="1" applyBorder="1" applyAlignment="1" applyProtection="1">
      <alignment horizontal="left" vertical="center" wrapText="1"/>
    </xf>
    <xf numFmtId="0" fontId="3" fillId="3" borderId="15" xfId="0" applyFont="1" applyFill="1" applyBorder="1" applyAlignment="1" applyProtection="1">
      <alignment horizontal="left" vertical="center" wrapText="1"/>
    </xf>
    <xf numFmtId="0" fontId="3" fillId="3" borderId="2" xfId="0" applyFont="1" applyFill="1" applyBorder="1" applyAlignment="1" applyProtection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right"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 applyProtection="1">
      <alignment horizontal="left" vertical="center" wrapText="1"/>
    </xf>
    <xf numFmtId="0" fontId="3" fillId="4" borderId="5" xfId="0" applyFont="1" applyFill="1" applyBorder="1" applyAlignment="1" applyProtection="1">
      <alignment horizontal="left" vertical="center" wrapText="1"/>
    </xf>
    <xf numFmtId="0" fontId="3" fillId="3" borderId="16" xfId="0" applyFont="1" applyFill="1" applyBorder="1" applyAlignment="1" applyProtection="1">
      <alignment horizontal="left" vertical="center" wrapText="1"/>
    </xf>
    <xf numFmtId="0" fontId="3" fillId="3" borderId="6" xfId="0" applyFont="1" applyFill="1" applyBorder="1" applyAlignment="1" applyProtection="1">
      <alignment horizontal="left" vertical="center" wrapText="1"/>
    </xf>
    <xf numFmtId="0" fontId="3" fillId="3" borderId="6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right" vertical="center" wrapText="1"/>
    </xf>
    <xf numFmtId="0" fontId="7" fillId="3" borderId="6" xfId="0" applyFont="1" applyFill="1" applyBorder="1" applyAlignment="1" applyProtection="1">
      <alignment horizontal="left" vertical="center" wrapText="1"/>
    </xf>
    <xf numFmtId="0" fontId="3" fillId="4" borderId="6" xfId="0" applyFont="1" applyFill="1" applyBorder="1" applyAlignment="1" applyProtection="1">
      <alignment horizontal="center" vertical="center" wrapText="1"/>
    </xf>
    <xf numFmtId="0" fontId="3" fillId="4" borderId="6" xfId="0" applyFont="1" applyFill="1" applyBorder="1" applyAlignment="1" applyProtection="1">
      <alignment horizontal="left" vertical="center" wrapText="1"/>
    </xf>
    <xf numFmtId="0" fontId="3" fillId="0" borderId="10" xfId="0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right" vertical="center" wrapText="1"/>
    </xf>
    <xf numFmtId="0" fontId="7" fillId="0" borderId="4" xfId="0" applyFont="1" applyFill="1" applyBorder="1" applyAlignment="1" applyProtection="1">
      <alignment horizontal="left" vertical="center" wrapText="1"/>
    </xf>
    <xf numFmtId="0" fontId="3" fillId="4" borderId="4" xfId="0" applyFont="1" applyFill="1" applyBorder="1" applyAlignment="1" applyProtection="1">
      <alignment horizontal="center" vertical="center" wrapText="1"/>
    </xf>
    <xf numFmtId="0" fontId="3" fillId="4" borderId="4" xfId="0" applyFont="1" applyFill="1" applyBorder="1" applyAlignment="1" applyProtection="1">
      <alignment horizontal="left" vertical="center" wrapText="1"/>
    </xf>
    <xf numFmtId="0" fontId="3" fillId="3" borderId="10" xfId="0" applyFont="1" applyFill="1" applyBorder="1" applyAlignment="1" applyProtection="1">
      <alignment horizontal="left" vertical="center" wrapText="1"/>
    </xf>
    <xf numFmtId="0" fontId="3" fillId="3" borderId="4" xfId="0" applyFont="1" applyFill="1" applyBorder="1" applyAlignment="1" applyProtection="1">
      <alignment horizontal="left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right" vertical="center" wrapText="1"/>
    </xf>
    <xf numFmtId="0" fontId="7" fillId="3" borderId="4" xfId="0" applyFont="1" applyFill="1" applyBorder="1" applyAlignment="1" applyProtection="1">
      <alignment horizontal="left" vertical="center" wrapText="1"/>
    </xf>
    <xf numFmtId="0" fontId="3" fillId="3" borderId="8" xfId="0" applyFont="1" applyFill="1" applyBorder="1" applyAlignment="1" applyProtection="1">
      <alignment horizontal="left" vertical="center" wrapText="1"/>
    </xf>
    <xf numFmtId="0" fontId="3" fillId="0" borderId="5" xfId="0" applyFont="1" applyFill="1" applyBorder="1" applyAlignment="1" applyProtection="1">
      <alignment horizontal="left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right" vertical="center" wrapText="1"/>
    </xf>
    <xf numFmtId="0" fontId="7" fillId="0" borderId="5" xfId="0" applyFont="1" applyFill="1" applyBorder="1" applyAlignment="1" applyProtection="1">
      <alignment horizontal="left" vertical="center" wrapText="1"/>
    </xf>
    <xf numFmtId="0" fontId="3" fillId="4" borderId="5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left" vertical="center" wrapText="1"/>
    </xf>
    <xf numFmtId="0" fontId="3" fillId="3" borderId="5" xfId="0" applyFont="1" applyFill="1" applyBorder="1" applyAlignment="1" applyProtection="1">
      <alignment horizontal="left" vertical="center" wrapText="1"/>
    </xf>
    <xf numFmtId="0" fontId="3" fillId="3" borderId="5" xfId="0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 applyProtection="1">
      <alignment horizontal="right" vertical="center" wrapText="1"/>
    </xf>
    <xf numFmtId="0" fontId="7" fillId="3" borderId="5" xfId="0" applyFont="1" applyFill="1" applyBorder="1" applyAlignment="1" applyProtection="1">
      <alignment horizontal="left" vertical="center" wrapText="1"/>
    </xf>
    <xf numFmtId="0" fontId="3" fillId="4" borderId="1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 applyProtection="1">
      <alignment horizontal="left" vertical="center" wrapText="1"/>
    </xf>
    <xf numFmtId="0" fontId="3" fillId="0" borderId="16" xfId="0" applyFont="1" applyFill="1" applyBorder="1" applyAlignment="1" applyProtection="1">
      <alignment horizontal="left" vertical="center" wrapText="1"/>
    </xf>
    <xf numFmtId="0" fontId="3" fillId="0" borderId="6" xfId="0" applyFont="1" applyFill="1" applyBorder="1" applyAlignment="1" applyProtection="1">
      <alignment horizontal="left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right" vertical="center" wrapText="1"/>
    </xf>
    <xf numFmtId="0" fontId="7" fillId="0" borderId="6" xfId="0" applyFont="1" applyFill="1" applyBorder="1" applyAlignment="1" applyProtection="1">
      <alignment horizontal="left" vertical="center" wrapText="1"/>
    </xf>
    <xf numFmtId="0" fontId="3" fillId="3" borderId="11" xfId="0" applyFont="1" applyFill="1" applyBorder="1" applyAlignment="1" applyProtection="1">
      <alignment horizontal="left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right" vertical="center" wrapText="1"/>
    </xf>
    <xf numFmtId="0" fontId="7" fillId="3" borderId="11" xfId="0" applyFont="1" applyFill="1" applyBorder="1" applyAlignment="1" applyProtection="1">
      <alignment horizontal="left" vertical="center" wrapText="1"/>
    </xf>
    <xf numFmtId="0" fontId="3" fillId="4" borderId="11" xfId="0" applyFont="1" applyFill="1" applyBorder="1" applyAlignment="1" applyProtection="1">
      <alignment horizontal="center" vertical="center" wrapText="1"/>
    </xf>
    <xf numFmtId="0" fontId="3" fillId="4" borderId="11" xfId="0" applyFont="1" applyFill="1" applyBorder="1" applyAlignment="1" applyProtection="1">
      <alignment horizontal="left" vertical="center" wrapText="1"/>
    </xf>
    <xf numFmtId="0" fontId="3" fillId="3" borderId="14" xfId="0" applyFont="1" applyFill="1" applyBorder="1" applyAlignment="1" applyProtection="1">
      <alignment horizontal="left" vertical="center" wrapText="1"/>
    </xf>
    <xf numFmtId="0" fontId="3" fillId="0" borderId="0" xfId="0" applyFont="1" applyAlignment="1">
      <alignment wrapText="1"/>
    </xf>
    <xf numFmtId="0" fontId="1" fillId="2" borderId="17" xfId="0" applyFont="1" applyFill="1" applyBorder="1" applyAlignment="1" applyProtection="1">
      <alignment horizontal="center" textRotation="90" wrapText="1"/>
    </xf>
    <xf numFmtId="0" fontId="1" fillId="2" borderId="17" xfId="0" applyFont="1" applyFill="1" applyBorder="1" applyAlignment="1" applyProtection="1">
      <alignment horizontal="center" textRotation="90"/>
    </xf>
    <xf numFmtId="0" fontId="1" fillId="2" borderId="18" xfId="0" applyFont="1" applyFill="1" applyBorder="1" applyAlignment="1" applyProtection="1">
      <alignment horizontal="center" textRotation="90" wrapText="1"/>
    </xf>
    <xf numFmtId="0" fontId="3" fillId="4" borderId="26" xfId="0" applyFont="1" applyFill="1" applyBorder="1" applyAlignment="1" applyProtection="1">
      <alignment horizontal="center" vertical="center" wrapText="1"/>
    </xf>
    <xf numFmtId="0" fontId="3" fillId="4" borderId="28" xfId="0" applyFont="1" applyFill="1" applyBorder="1" applyAlignment="1" applyProtection="1">
      <alignment horizontal="center" vertical="center" wrapText="1"/>
    </xf>
    <xf numFmtId="0" fontId="3" fillId="4" borderId="27" xfId="0" applyFont="1" applyFill="1" applyBorder="1" applyAlignment="1" applyProtection="1">
      <alignment horizontal="center" vertical="center" wrapText="1"/>
    </xf>
    <xf numFmtId="0" fontId="3" fillId="4" borderId="36" xfId="0" applyFont="1" applyFill="1" applyBorder="1" applyAlignment="1" applyProtection="1">
      <alignment horizontal="center" vertical="center" wrapText="1"/>
    </xf>
    <xf numFmtId="0" fontId="3" fillId="4" borderId="38" xfId="0" applyFont="1" applyFill="1" applyBorder="1" applyAlignment="1" applyProtection="1">
      <alignment horizontal="center" vertical="center" wrapText="1"/>
    </xf>
    <xf numFmtId="0" fontId="3" fillId="4" borderId="31" xfId="0" applyFont="1" applyFill="1" applyBorder="1" applyAlignment="1" applyProtection="1">
      <alignment horizontal="center" vertical="center" wrapText="1"/>
    </xf>
    <xf numFmtId="0" fontId="3" fillId="4" borderId="44" xfId="0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>
      <alignment horizontal="center" wrapText="1"/>
    </xf>
    <xf numFmtId="0" fontId="3" fillId="3" borderId="27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3" fillId="3" borderId="28" xfId="0" applyFont="1" applyFill="1" applyBorder="1" applyAlignment="1">
      <alignment horizontal="center" wrapText="1"/>
    </xf>
    <xf numFmtId="0" fontId="3" fillId="4" borderId="40" xfId="0" applyFont="1" applyFill="1" applyBorder="1" applyAlignment="1" applyProtection="1">
      <alignment horizontal="center" vertical="center" wrapText="1"/>
    </xf>
    <xf numFmtId="0" fontId="3" fillId="4" borderId="29" xfId="0" applyFont="1" applyFill="1" applyBorder="1" applyAlignment="1" applyProtection="1">
      <alignment horizontal="center" vertical="center" wrapText="1"/>
    </xf>
    <xf numFmtId="0" fontId="3" fillId="4" borderId="37" xfId="0" applyFont="1" applyFill="1" applyBorder="1" applyAlignment="1" applyProtection="1">
      <alignment horizontal="center" vertical="center" wrapText="1"/>
    </xf>
    <xf numFmtId="0" fontId="3" fillId="4" borderId="35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35" xfId="0" applyFont="1" applyFill="1" applyBorder="1" applyAlignment="1">
      <alignment horizontal="center" wrapText="1"/>
    </xf>
    <xf numFmtId="0" fontId="3" fillId="4" borderId="30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>
      <alignment horizontal="center"/>
    </xf>
    <xf numFmtId="3" fontId="6" fillId="0" borderId="37" xfId="0" applyNumberFormat="1" applyFont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wrapText="1"/>
    </xf>
    <xf numFmtId="0" fontId="4" fillId="0" borderId="11" xfId="0" applyFont="1" applyBorder="1" applyAlignment="1">
      <alignment horizontal="center"/>
    </xf>
    <xf numFmtId="3" fontId="6" fillId="0" borderId="39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5" borderId="0" xfId="0" applyFont="1" applyFill="1"/>
    <xf numFmtId="0" fontId="8" fillId="0" borderId="0" xfId="0" applyFont="1"/>
    <xf numFmtId="3" fontId="4" fillId="5" borderId="43" xfId="0" applyNumberFormat="1" applyFont="1" applyFill="1" applyBorder="1" applyAlignment="1" applyProtection="1">
      <alignment horizontal="center"/>
      <protection locked="0"/>
    </xf>
    <xf numFmtId="3" fontId="4" fillId="5" borderId="7" xfId="0" applyNumberFormat="1" applyFont="1" applyFill="1" applyBorder="1" applyAlignment="1" applyProtection="1">
      <alignment horizontal="center"/>
      <protection locked="0"/>
    </xf>
    <xf numFmtId="3" fontId="3" fillId="5" borderId="19" xfId="0" applyNumberFormat="1" applyFont="1" applyFill="1" applyBorder="1" applyAlignment="1" applyProtection="1">
      <alignment horizontal="center"/>
      <protection locked="0"/>
    </xf>
    <xf numFmtId="3" fontId="3" fillId="5" borderId="21" xfId="0" applyNumberFormat="1" applyFont="1" applyFill="1" applyBorder="1" applyAlignment="1" applyProtection="1">
      <alignment horizontal="center"/>
      <protection locked="0"/>
    </xf>
    <xf numFmtId="0" fontId="3" fillId="5" borderId="22" xfId="0" applyFont="1" applyFill="1" applyBorder="1" applyAlignment="1" applyProtection="1">
      <alignment horizontal="center"/>
      <protection locked="0"/>
    </xf>
    <xf numFmtId="0" fontId="3" fillId="5" borderId="19" xfId="0" applyFont="1" applyFill="1" applyBorder="1" applyAlignment="1" applyProtection="1">
      <alignment horizontal="center"/>
      <protection locked="0"/>
    </xf>
    <xf numFmtId="0" fontId="3" fillId="5" borderId="32" xfId="0" applyFont="1" applyFill="1" applyBorder="1" applyAlignment="1" applyProtection="1">
      <alignment horizontal="center"/>
      <protection locked="0"/>
    </xf>
    <xf numFmtId="3" fontId="3" fillId="5" borderId="22" xfId="0" applyNumberFormat="1" applyFont="1" applyFill="1" applyBorder="1" applyAlignment="1" applyProtection="1">
      <alignment horizontal="center"/>
      <protection locked="0"/>
    </xf>
    <xf numFmtId="0" fontId="3" fillId="5" borderId="21" xfId="0" applyFont="1" applyFill="1" applyBorder="1" applyAlignment="1" applyProtection="1">
      <alignment horizontal="center"/>
      <protection locked="0"/>
    </xf>
    <xf numFmtId="3" fontId="3" fillId="5" borderId="34" xfId="0" applyNumberFormat="1" applyFont="1" applyFill="1" applyBorder="1" applyAlignment="1" applyProtection="1">
      <alignment horizontal="center"/>
      <protection locked="0"/>
    </xf>
    <xf numFmtId="3" fontId="3" fillId="5" borderId="32" xfId="0" applyNumberFormat="1" applyFont="1" applyFill="1" applyBorder="1" applyAlignment="1" applyProtection="1">
      <alignment horizontal="center"/>
      <protection locked="0"/>
    </xf>
    <xf numFmtId="3" fontId="3" fillId="5" borderId="33" xfId="0" applyNumberFormat="1" applyFont="1" applyFill="1" applyBorder="1" applyAlignment="1" applyProtection="1">
      <alignment horizontal="center"/>
      <protection locked="0"/>
    </xf>
    <xf numFmtId="3" fontId="3" fillId="5" borderId="20" xfId="0" applyNumberFormat="1" applyFont="1" applyFill="1" applyBorder="1" applyAlignment="1" applyProtection="1">
      <alignment horizontal="center"/>
      <protection locked="0"/>
    </xf>
    <xf numFmtId="0" fontId="6" fillId="0" borderId="23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25" xfId="0" applyFont="1" applyBorder="1" applyAlignment="1">
      <alignment horizontal="left"/>
    </xf>
    <xf numFmtId="0" fontId="4" fillId="0" borderId="8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5" fillId="0" borderId="9" xfId="0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left" wrapText="1"/>
    </xf>
    <xf numFmtId="0" fontId="4" fillId="0" borderId="14" xfId="0" applyFont="1" applyBorder="1" applyAlignment="1">
      <alignment horizontal="left" wrapText="1"/>
    </xf>
    <xf numFmtId="0" fontId="4" fillId="0" borderId="11" xfId="0" applyFont="1" applyBorder="1" applyAlignment="1">
      <alignment horizontal="left" wrapText="1"/>
    </xf>
    <xf numFmtId="0" fontId="5" fillId="0" borderId="41" xfId="0" applyFont="1" applyFill="1" applyBorder="1" applyAlignment="1">
      <alignment horizontal="left" wrapText="1"/>
    </xf>
    <xf numFmtId="0" fontId="5" fillId="0" borderId="42" xfId="0" applyFont="1" applyFill="1" applyBorder="1" applyAlignment="1">
      <alignment horizontal="left" wrapText="1"/>
    </xf>
    <xf numFmtId="0" fontId="5" fillId="0" borderId="41" xfId="0" applyFont="1" applyFill="1" applyBorder="1" applyAlignment="1">
      <alignment horizontal="left"/>
    </xf>
    <xf numFmtId="0" fontId="5" fillId="0" borderId="42" xfId="0" applyFont="1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16"/>
  <sheetViews>
    <sheetView tabSelected="1" topLeftCell="A103" zoomScale="90" zoomScaleNormal="90" zoomScaleSheetLayoutView="100" workbookViewId="0">
      <selection activeCell="W120" sqref="W120"/>
    </sheetView>
  </sheetViews>
  <sheetFormatPr defaultRowHeight="12" x14ac:dyDescent="0.2"/>
  <cols>
    <col min="1" max="1" width="17.140625" style="9" customWidth="1"/>
    <col min="2" max="2" width="9.140625" style="9"/>
    <col min="3" max="3" width="5.7109375" style="9" customWidth="1"/>
    <col min="4" max="4" width="7.5703125" style="9" customWidth="1"/>
    <col min="5" max="5" width="10.5703125" style="9" customWidth="1"/>
    <col min="6" max="6" width="8.5703125" style="9" customWidth="1"/>
    <col min="7" max="18" width="4.7109375" style="9" customWidth="1"/>
    <col min="19" max="19" width="14.42578125" style="9" customWidth="1"/>
    <col min="20" max="20" width="11" style="9" customWidth="1"/>
    <col min="21" max="21" width="6.7109375" style="9" customWidth="1"/>
    <col min="22" max="22" width="3.7109375" style="9" customWidth="1"/>
    <col min="23" max="23" width="35.42578125" style="9" customWidth="1"/>
    <col min="24" max="24" width="11.140625" style="9" customWidth="1"/>
    <col min="25" max="25" width="10.42578125" style="9" customWidth="1"/>
    <col min="26" max="26" width="15.28515625" style="9" customWidth="1"/>
    <col min="27" max="27" width="19.5703125" style="9" customWidth="1"/>
    <col min="28" max="30" width="8.7109375" style="105" customWidth="1"/>
    <col min="31" max="251" width="9.140625" style="9"/>
    <col min="252" max="252" width="20" style="9" customWidth="1"/>
    <col min="253" max="253" width="9.140625" style="9"/>
    <col min="254" max="254" width="9.28515625" style="9" bestFit="1" customWidth="1"/>
    <col min="255" max="255" width="9.140625" style="9"/>
    <col min="256" max="256" width="10.5703125" style="9" customWidth="1"/>
    <col min="257" max="270" width="9.140625" style="9"/>
    <col min="271" max="271" width="10.85546875" style="9" customWidth="1"/>
    <col min="272" max="272" width="9.140625" style="9"/>
    <col min="273" max="273" width="16.85546875" style="9" customWidth="1"/>
    <col min="274" max="275" width="9.140625" style="9"/>
    <col min="276" max="276" width="12.7109375" style="9" customWidth="1"/>
    <col min="277" max="277" width="35.42578125" style="9" customWidth="1"/>
    <col min="278" max="278" width="12" style="9" bestFit="1" customWidth="1"/>
    <col min="279" max="279" width="11" style="9" bestFit="1" customWidth="1"/>
    <col min="280" max="507" width="9.140625" style="9"/>
    <col min="508" max="508" width="20" style="9" customWidth="1"/>
    <col min="509" max="509" width="9.140625" style="9"/>
    <col min="510" max="510" width="9.28515625" style="9" bestFit="1" customWidth="1"/>
    <col min="511" max="511" width="9.140625" style="9"/>
    <col min="512" max="512" width="10.5703125" style="9" customWidth="1"/>
    <col min="513" max="526" width="9.140625" style="9"/>
    <col min="527" max="527" width="10.85546875" style="9" customWidth="1"/>
    <col min="528" max="528" width="9.140625" style="9"/>
    <col min="529" max="529" width="16.85546875" style="9" customWidth="1"/>
    <col min="530" max="531" width="9.140625" style="9"/>
    <col min="532" max="532" width="12.7109375" style="9" customWidth="1"/>
    <col min="533" max="533" width="35.42578125" style="9" customWidth="1"/>
    <col min="534" max="534" width="12" style="9" bestFit="1" customWidth="1"/>
    <col min="535" max="535" width="11" style="9" bestFit="1" customWidth="1"/>
    <col min="536" max="763" width="9.140625" style="9"/>
    <col min="764" max="764" width="20" style="9" customWidth="1"/>
    <col min="765" max="765" width="9.140625" style="9"/>
    <col min="766" max="766" width="9.28515625" style="9" bestFit="1" customWidth="1"/>
    <col min="767" max="767" width="9.140625" style="9"/>
    <col min="768" max="768" width="10.5703125" style="9" customWidth="1"/>
    <col min="769" max="782" width="9.140625" style="9"/>
    <col min="783" max="783" width="10.85546875" style="9" customWidth="1"/>
    <col min="784" max="784" width="9.140625" style="9"/>
    <col min="785" max="785" width="16.85546875" style="9" customWidth="1"/>
    <col min="786" max="787" width="9.140625" style="9"/>
    <col min="788" max="788" width="12.7109375" style="9" customWidth="1"/>
    <col min="789" max="789" width="35.42578125" style="9" customWidth="1"/>
    <col min="790" max="790" width="12" style="9" bestFit="1" customWidth="1"/>
    <col min="791" max="791" width="11" style="9" bestFit="1" customWidth="1"/>
    <col min="792" max="1019" width="9.140625" style="9"/>
    <col min="1020" max="1020" width="20" style="9" customWidth="1"/>
    <col min="1021" max="1021" width="9.140625" style="9"/>
    <col min="1022" max="1022" width="9.28515625" style="9" bestFit="1" customWidth="1"/>
    <col min="1023" max="1023" width="9.140625" style="9"/>
    <col min="1024" max="1024" width="10.5703125" style="9" customWidth="1"/>
    <col min="1025" max="1038" width="9.140625" style="9"/>
    <col min="1039" max="1039" width="10.85546875" style="9" customWidth="1"/>
    <col min="1040" max="1040" width="9.140625" style="9"/>
    <col min="1041" max="1041" width="16.85546875" style="9" customWidth="1"/>
    <col min="1042" max="1043" width="9.140625" style="9"/>
    <col min="1044" max="1044" width="12.7109375" style="9" customWidth="1"/>
    <col min="1045" max="1045" width="35.42578125" style="9" customWidth="1"/>
    <col min="1046" max="1046" width="12" style="9" bestFit="1" customWidth="1"/>
    <col min="1047" max="1047" width="11" style="9" bestFit="1" customWidth="1"/>
    <col min="1048" max="1275" width="9.140625" style="9"/>
    <col min="1276" max="1276" width="20" style="9" customWidth="1"/>
    <col min="1277" max="1277" width="9.140625" style="9"/>
    <col min="1278" max="1278" width="9.28515625" style="9" bestFit="1" customWidth="1"/>
    <col min="1279" max="1279" width="9.140625" style="9"/>
    <col min="1280" max="1280" width="10.5703125" style="9" customWidth="1"/>
    <col min="1281" max="1294" width="9.140625" style="9"/>
    <col min="1295" max="1295" width="10.85546875" style="9" customWidth="1"/>
    <col min="1296" max="1296" width="9.140625" style="9"/>
    <col min="1297" max="1297" width="16.85546875" style="9" customWidth="1"/>
    <col min="1298" max="1299" width="9.140625" style="9"/>
    <col min="1300" max="1300" width="12.7109375" style="9" customWidth="1"/>
    <col min="1301" max="1301" width="35.42578125" style="9" customWidth="1"/>
    <col min="1302" max="1302" width="12" style="9" bestFit="1" customWidth="1"/>
    <col min="1303" max="1303" width="11" style="9" bestFit="1" customWidth="1"/>
    <col min="1304" max="1531" width="9.140625" style="9"/>
    <col min="1532" max="1532" width="20" style="9" customWidth="1"/>
    <col min="1533" max="1533" width="9.140625" style="9"/>
    <col min="1534" max="1534" width="9.28515625" style="9" bestFit="1" customWidth="1"/>
    <col min="1535" max="1535" width="9.140625" style="9"/>
    <col min="1536" max="1536" width="10.5703125" style="9" customWidth="1"/>
    <col min="1537" max="1550" width="9.140625" style="9"/>
    <col min="1551" max="1551" width="10.85546875" style="9" customWidth="1"/>
    <col min="1552" max="1552" width="9.140625" style="9"/>
    <col min="1553" max="1553" width="16.85546875" style="9" customWidth="1"/>
    <col min="1554" max="1555" width="9.140625" style="9"/>
    <col min="1556" max="1556" width="12.7109375" style="9" customWidth="1"/>
    <col min="1557" max="1557" width="35.42578125" style="9" customWidth="1"/>
    <col min="1558" max="1558" width="12" style="9" bestFit="1" customWidth="1"/>
    <col min="1559" max="1559" width="11" style="9" bestFit="1" customWidth="1"/>
    <col min="1560" max="1787" width="9.140625" style="9"/>
    <col min="1788" max="1788" width="20" style="9" customWidth="1"/>
    <col min="1789" max="1789" width="9.140625" style="9"/>
    <col min="1790" max="1790" width="9.28515625" style="9" bestFit="1" customWidth="1"/>
    <col min="1791" max="1791" width="9.140625" style="9"/>
    <col min="1792" max="1792" width="10.5703125" style="9" customWidth="1"/>
    <col min="1793" max="1806" width="9.140625" style="9"/>
    <col min="1807" max="1807" width="10.85546875" style="9" customWidth="1"/>
    <col min="1808" max="1808" width="9.140625" style="9"/>
    <col min="1809" max="1809" width="16.85546875" style="9" customWidth="1"/>
    <col min="1810" max="1811" width="9.140625" style="9"/>
    <col min="1812" max="1812" width="12.7109375" style="9" customWidth="1"/>
    <col min="1813" max="1813" width="35.42578125" style="9" customWidth="1"/>
    <col min="1814" max="1814" width="12" style="9" bestFit="1" customWidth="1"/>
    <col min="1815" max="1815" width="11" style="9" bestFit="1" customWidth="1"/>
    <col min="1816" max="2043" width="9.140625" style="9"/>
    <col min="2044" max="2044" width="20" style="9" customWidth="1"/>
    <col min="2045" max="2045" width="9.140625" style="9"/>
    <col min="2046" max="2046" width="9.28515625" style="9" bestFit="1" customWidth="1"/>
    <col min="2047" max="2047" width="9.140625" style="9"/>
    <col min="2048" max="2048" width="10.5703125" style="9" customWidth="1"/>
    <col min="2049" max="2062" width="9.140625" style="9"/>
    <col min="2063" max="2063" width="10.85546875" style="9" customWidth="1"/>
    <col min="2064" max="2064" width="9.140625" style="9"/>
    <col min="2065" max="2065" width="16.85546875" style="9" customWidth="1"/>
    <col min="2066" max="2067" width="9.140625" style="9"/>
    <col min="2068" max="2068" width="12.7109375" style="9" customWidth="1"/>
    <col min="2069" max="2069" width="35.42578125" style="9" customWidth="1"/>
    <col min="2070" max="2070" width="12" style="9" bestFit="1" customWidth="1"/>
    <col min="2071" max="2071" width="11" style="9" bestFit="1" customWidth="1"/>
    <col min="2072" max="2299" width="9.140625" style="9"/>
    <col min="2300" max="2300" width="20" style="9" customWidth="1"/>
    <col min="2301" max="2301" width="9.140625" style="9"/>
    <col min="2302" max="2302" width="9.28515625" style="9" bestFit="1" customWidth="1"/>
    <col min="2303" max="2303" width="9.140625" style="9"/>
    <col min="2304" max="2304" width="10.5703125" style="9" customWidth="1"/>
    <col min="2305" max="2318" width="9.140625" style="9"/>
    <col min="2319" max="2319" width="10.85546875" style="9" customWidth="1"/>
    <col min="2320" max="2320" width="9.140625" style="9"/>
    <col min="2321" max="2321" width="16.85546875" style="9" customWidth="1"/>
    <col min="2322" max="2323" width="9.140625" style="9"/>
    <col min="2324" max="2324" width="12.7109375" style="9" customWidth="1"/>
    <col min="2325" max="2325" width="35.42578125" style="9" customWidth="1"/>
    <col min="2326" max="2326" width="12" style="9" bestFit="1" customWidth="1"/>
    <col min="2327" max="2327" width="11" style="9" bestFit="1" customWidth="1"/>
    <col min="2328" max="2555" width="9.140625" style="9"/>
    <col min="2556" max="2556" width="20" style="9" customWidth="1"/>
    <col min="2557" max="2557" width="9.140625" style="9"/>
    <col min="2558" max="2558" width="9.28515625" style="9" bestFit="1" customWidth="1"/>
    <col min="2559" max="2559" width="9.140625" style="9"/>
    <col min="2560" max="2560" width="10.5703125" style="9" customWidth="1"/>
    <col min="2561" max="2574" width="9.140625" style="9"/>
    <col min="2575" max="2575" width="10.85546875" style="9" customWidth="1"/>
    <col min="2576" max="2576" width="9.140625" style="9"/>
    <col min="2577" max="2577" width="16.85546875" style="9" customWidth="1"/>
    <col min="2578" max="2579" width="9.140625" style="9"/>
    <col min="2580" max="2580" width="12.7109375" style="9" customWidth="1"/>
    <col min="2581" max="2581" width="35.42578125" style="9" customWidth="1"/>
    <col min="2582" max="2582" width="12" style="9" bestFit="1" customWidth="1"/>
    <col min="2583" max="2583" width="11" style="9" bestFit="1" customWidth="1"/>
    <col min="2584" max="2811" width="9.140625" style="9"/>
    <col min="2812" max="2812" width="20" style="9" customWidth="1"/>
    <col min="2813" max="2813" width="9.140625" style="9"/>
    <col min="2814" max="2814" width="9.28515625" style="9" bestFit="1" customWidth="1"/>
    <col min="2815" max="2815" width="9.140625" style="9"/>
    <col min="2816" max="2816" width="10.5703125" style="9" customWidth="1"/>
    <col min="2817" max="2830" width="9.140625" style="9"/>
    <col min="2831" max="2831" width="10.85546875" style="9" customWidth="1"/>
    <col min="2832" max="2832" width="9.140625" style="9"/>
    <col min="2833" max="2833" width="16.85546875" style="9" customWidth="1"/>
    <col min="2834" max="2835" width="9.140625" style="9"/>
    <col min="2836" max="2836" width="12.7109375" style="9" customWidth="1"/>
    <col min="2837" max="2837" width="35.42578125" style="9" customWidth="1"/>
    <col min="2838" max="2838" width="12" style="9" bestFit="1" customWidth="1"/>
    <col min="2839" max="2839" width="11" style="9" bestFit="1" customWidth="1"/>
    <col min="2840" max="3067" width="9.140625" style="9"/>
    <col min="3068" max="3068" width="20" style="9" customWidth="1"/>
    <col min="3069" max="3069" width="9.140625" style="9"/>
    <col min="3070" max="3070" width="9.28515625" style="9" bestFit="1" customWidth="1"/>
    <col min="3071" max="3071" width="9.140625" style="9"/>
    <col min="3072" max="3072" width="10.5703125" style="9" customWidth="1"/>
    <col min="3073" max="3086" width="9.140625" style="9"/>
    <col min="3087" max="3087" width="10.85546875" style="9" customWidth="1"/>
    <col min="3088" max="3088" width="9.140625" style="9"/>
    <col min="3089" max="3089" width="16.85546875" style="9" customWidth="1"/>
    <col min="3090" max="3091" width="9.140625" style="9"/>
    <col min="3092" max="3092" width="12.7109375" style="9" customWidth="1"/>
    <col min="3093" max="3093" width="35.42578125" style="9" customWidth="1"/>
    <col min="3094" max="3094" width="12" style="9" bestFit="1" customWidth="1"/>
    <col min="3095" max="3095" width="11" style="9" bestFit="1" customWidth="1"/>
    <col min="3096" max="3323" width="9.140625" style="9"/>
    <col min="3324" max="3324" width="20" style="9" customWidth="1"/>
    <col min="3325" max="3325" width="9.140625" style="9"/>
    <col min="3326" max="3326" width="9.28515625" style="9" bestFit="1" customWidth="1"/>
    <col min="3327" max="3327" width="9.140625" style="9"/>
    <col min="3328" max="3328" width="10.5703125" style="9" customWidth="1"/>
    <col min="3329" max="3342" width="9.140625" style="9"/>
    <col min="3343" max="3343" width="10.85546875" style="9" customWidth="1"/>
    <col min="3344" max="3344" width="9.140625" style="9"/>
    <col min="3345" max="3345" width="16.85546875" style="9" customWidth="1"/>
    <col min="3346" max="3347" width="9.140625" style="9"/>
    <col min="3348" max="3348" width="12.7109375" style="9" customWidth="1"/>
    <col min="3349" max="3349" width="35.42578125" style="9" customWidth="1"/>
    <col min="3350" max="3350" width="12" style="9" bestFit="1" customWidth="1"/>
    <col min="3351" max="3351" width="11" style="9" bestFit="1" customWidth="1"/>
    <col min="3352" max="3579" width="9.140625" style="9"/>
    <col min="3580" max="3580" width="20" style="9" customWidth="1"/>
    <col min="3581" max="3581" width="9.140625" style="9"/>
    <col min="3582" max="3582" width="9.28515625" style="9" bestFit="1" customWidth="1"/>
    <col min="3583" max="3583" width="9.140625" style="9"/>
    <col min="3584" max="3584" width="10.5703125" style="9" customWidth="1"/>
    <col min="3585" max="3598" width="9.140625" style="9"/>
    <col min="3599" max="3599" width="10.85546875" style="9" customWidth="1"/>
    <col min="3600" max="3600" width="9.140625" style="9"/>
    <col min="3601" max="3601" width="16.85546875" style="9" customWidth="1"/>
    <col min="3602" max="3603" width="9.140625" style="9"/>
    <col min="3604" max="3604" width="12.7109375" style="9" customWidth="1"/>
    <col min="3605" max="3605" width="35.42578125" style="9" customWidth="1"/>
    <col min="3606" max="3606" width="12" style="9" bestFit="1" customWidth="1"/>
    <col min="3607" max="3607" width="11" style="9" bestFit="1" customWidth="1"/>
    <col min="3608" max="3835" width="9.140625" style="9"/>
    <col min="3836" max="3836" width="20" style="9" customWidth="1"/>
    <col min="3837" max="3837" width="9.140625" style="9"/>
    <col min="3838" max="3838" width="9.28515625" style="9" bestFit="1" customWidth="1"/>
    <col min="3839" max="3839" width="9.140625" style="9"/>
    <col min="3840" max="3840" width="10.5703125" style="9" customWidth="1"/>
    <col min="3841" max="3854" width="9.140625" style="9"/>
    <col min="3855" max="3855" width="10.85546875" style="9" customWidth="1"/>
    <col min="3856" max="3856" width="9.140625" style="9"/>
    <col min="3857" max="3857" width="16.85546875" style="9" customWidth="1"/>
    <col min="3858" max="3859" width="9.140625" style="9"/>
    <col min="3860" max="3860" width="12.7109375" style="9" customWidth="1"/>
    <col min="3861" max="3861" width="35.42578125" style="9" customWidth="1"/>
    <col min="3862" max="3862" width="12" style="9" bestFit="1" customWidth="1"/>
    <col min="3863" max="3863" width="11" style="9" bestFit="1" customWidth="1"/>
    <col min="3864" max="4091" width="9.140625" style="9"/>
    <col min="4092" max="4092" width="20" style="9" customWidth="1"/>
    <col min="4093" max="4093" width="9.140625" style="9"/>
    <col min="4094" max="4094" width="9.28515625" style="9" bestFit="1" customWidth="1"/>
    <col min="4095" max="4095" width="9.140625" style="9"/>
    <col min="4096" max="4096" width="10.5703125" style="9" customWidth="1"/>
    <col min="4097" max="4110" width="9.140625" style="9"/>
    <col min="4111" max="4111" width="10.85546875" style="9" customWidth="1"/>
    <col min="4112" max="4112" width="9.140625" style="9"/>
    <col min="4113" max="4113" width="16.85546875" style="9" customWidth="1"/>
    <col min="4114" max="4115" width="9.140625" style="9"/>
    <col min="4116" max="4116" width="12.7109375" style="9" customWidth="1"/>
    <col min="4117" max="4117" width="35.42578125" style="9" customWidth="1"/>
    <col min="4118" max="4118" width="12" style="9" bestFit="1" customWidth="1"/>
    <col min="4119" max="4119" width="11" style="9" bestFit="1" customWidth="1"/>
    <col min="4120" max="4347" width="9.140625" style="9"/>
    <col min="4348" max="4348" width="20" style="9" customWidth="1"/>
    <col min="4349" max="4349" width="9.140625" style="9"/>
    <col min="4350" max="4350" width="9.28515625" style="9" bestFit="1" customWidth="1"/>
    <col min="4351" max="4351" width="9.140625" style="9"/>
    <col min="4352" max="4352" width="10.5703125" style="9" customWidth="1"/>
    <col min="4353" max="4366" width="9.140625" style="9"/>
    <col min="4367" max="4367" width="10.85546875" style="9" customWidth="1"/>
    <col min="4368" max="4368" width="9.140625" style="9"/>
    <col min="4369" max="4369" width="16.85546875" style="9" customWidth="1"/>
    <col min="4370" max="4371" width="9.140625" style="9"/>
    <col min="4372" max="4372" width="12.7109375" style="9" customWidth="1"/>
    <col min="4373" max="4373" width="35.42578125" style="9" customWidth="1"/>
    <col min="4374" max="4374" width="12" style="9" bestFit="1" customWidth="1"/>
    <col min="4375" max="4375" width="11" style="9" bestFit="1" customWidth="1"/>
    <col min="4376" max="4603" width="9.140625" style="9"/>
    <col min="4604" max="4604" width="20" style="9" customWidth="1"/>
    <col min="4605" max="4605" width="9.140625" style="9"/>
    <col min="4606" max="4606" width="9.28515625" style="9" bestFit="1" customWidth="1"/>
    <col min="4607" max="4607" width="9.140625" style="9"/>
    <col min="4608" max="4608" width="10.5703125" style="9" customWidth="1"/>
    <col min="4609" max="4622" width="9.140625" style="9"/>
    <col min="4623" max="4623" width="10.85546875" style="9" customWidth="1"/>
    <col min="4624" max="4624" width="9.140625" style="9"/>
    <col min="4625" max="4625" width="16.85546875" style="9" customWidth="1"/>
    <col min="4626" max="4627" width="9.140625" style="9"/>
    <col min="4628" max="4628" width="12.7109375" style="9" customWidth="1"/>
    <col min="4629" max="4629" width="35.42578125" style="9" customWidth="1"/>
    <col min="4630" max="4630" width="12" style="9" bestFit="1" customWidth="1"/>
    <col min="4631" max="4631" width="11" style="9" bestFit="1" customWidth="1"/>
    <col min="4632" max="4859" width="9.140625" style="9"/>
    <col min="4860" max="4860" width="20" style="9" customWidth="1"/>
    <col min="4861" max="4861" width="9.140625" style="9"/>
    <col min="4862" max="4862" width="9.28515625" style="9" bestFit="1" customWidth="1"/>
    <col min="4863" max="4863" width="9.140625" style="9"/>
    <col min="4864" max="4864" width="10.5703125" style="9" customWidth="1"/>
    <col min="4865" max="4878" width="9.140625" style="9"/>
    <col min="4879" max="4879" width="10.85546875" style="9" customWidth="1"/>
    <col min="4880" max="4880" width="9.140625" style="9"/>
    <col min="4881" max="4881" width="16.85546875" style="9" customWidth="1"/>
    <col min="4882" max="4883" width="9.140625" style="9"/>
    <col min="4884" max="4884" width="12.7109375" style="9" customWidth="1"/>
    <col min="4885" max="4885" width="35.42578125" style="9" customWidth="1"/>
    <col min="4886" max="4886" width="12" style="9" bestFit="1" customWidth="1"/>
    <col min="4887" max="4887" width="11" style="9" bestFit="1" customWidth="1"/>
    <col min="4888" max="5115" width="9.140625" style="9"/>
    <col min="5116" max="5116" width="20" style="9" customWidth="1"/>
    <col min="5117" max="5117" width="9.140625" style="9"/>
    <col min="5118" max="5118" width="9.28515625" style="9" bestFit="1" customWidth="1"/>
    <col min="5119" max="5119" width="9.140625" style="9"/>
    <col min="5120" max="5120" width="10.5703125" style="9" customWidth="1"/>
    <col min="5121" max="5134" width="9.140625" style="9"/>
    <col min="5135" max="5135" width="10.85546875" style="9" customWidth="1"/>
    <col min="5136" max="5136" width="9.140625" style="9"/>
    <col min="5137" max="5137" width="16.85546875" style="9" customWidth="1"/>
    <col min="5138" max="5139" width="9.140625" style="9"/>
    <col min="5140" max="5140" width="12.7109375" style="9" customWidth="1"/>
    <col min="5141" max="5141" width="35.42578125" style="9" customWidth="1"/>
    <col min="5142" max="5142" width="12" style="9" bestFit="1" customWidth="1"/>
    <col min="5143" max="5143" width="11" style="9" bestFit="1" customWidth="1"/>
    <col min="5144" max="5371" width="9.140625" style="9"/>
    <col min="5372" max="5372" width="20" style="9" customWidth="1"/>
    <col min="5373" max="5373" width="9.140625" style="9"/>
    <col min="5374" max="5374" width="9.28515625" style="9" bestFit="1" customWidth="1"/>
    <col min="5375" max="5375" width="9.140625" style="9"/>
    <col min="5376" max="5376" width="10.5703125" style="9" customWidth="1"/>
    <col min="5377" max="5390" width="9.140625" style="9"/>
    <col min="5391" max="5391" width="10.85546875" style="9" customWidth="1"/>
    <col min="5392" max="5392" width="9.140625" style="9"/>
    <col min="5393" max="5393" width="16.85546875" style="9" customWidth="1"/>
    <col min="5394" max="5395" width="9.140625" style="9"/>
    <col min="5396" max="5396" width="12.7109375" style="9" customWidth="1"/>
    <col min="5397" max="5397" width="35.42578125" style="9" customWidth="1"/>
    <col min="5398" max="5398" width="12" style="9" bestFit="1" customWidth="1"/>
    <col min="5399" max="5399" width="11" style="9" bestFit="1" customWidth="1"/>
    <col min="5400" max="5627" width="9.140625" style="9"/>
    <col min="5628" max="5628" width="20" style="9" customWidth="1"/>
    <col min="5629" max="5629" width="9.140625" style="9"/>
    <col min="5630" max="5630" width="9.28515625" style="9" bestFit="1" customWidth="1"/>
    <col min="5631" max="5631" width="9.140625" style="9"/>
    <col min="5632" max="5632" width="10.5703125" style="9" customWidth="1"/>
    <col min="5633" max="5646" width="9.140625" style="9"/>
    <col min="5647" max="5647" width="10.85546875" style="9" customWidth="1"/>
    <col min="5648" max="5648" width="9.140625" style="9"/>
    <col min="5649" max="5649" width="16.85546875" style="9" customWidth="1"/>
    <col min="5650" max="5651" width="9.140625" style="9"/>
    <col min="5652" max="5652" width="12.7109375" style="9" customWidth="1"/>
    <col min="5653" max="5653" width="35.42578125" style="9" customWidth="1"/>
    <col min="5654" max="5654" width="12" style="9" bestFit="1" customWidth="1"/>
    <col min="5655" max="5655" width="11" style="9" bestFit="1" customWidth="1"/>
    <col min="5656" max="5883" width="9.140625" style="9"/>
    <col min="5884" max="5884" width="20" style="9" customWidth="1"/>
    <col min="5885" max="5885" width="9.140625" style="9"/>
    <col min="5886" max="5886" width="9.28515625" style="9" bestFit="1" customWidth="1"/>
    <col min="5887" max="5887" width="9.140625" style="9"/>
    <col min="5888" max="5888" width="10.5703125" style="9" customWidth="1"/>
    <col min="5889" max="5902" width="9.140625" style="9"/>
    <col min="5903" max="5903" width="10.85546875" style="9" customWidth="1"/>
    <col min="5904" max="5904" width="9.140625" style="9"/>
    <col min="5905" max="5905" width="16.85546875" style="9" customWidth="1"/>
    <col min="5906" max="5907" width="9.140625" style="9"/>
    <col min="5908" max="5908" width="12.7109375" style="9" customWidth="1"/>
    <col min="5909" max="5909" width="35.42578125" style="9" customWidth="1"/>
    <col min="5910" max="5910" width="12" style="9" bestFit="1" customWidth="1"/>
    <col min="5911" max="5911" width="11" style="9" bestFit="1" customWidth="1"/>
    <col min="5912" max="6139" width="9.140625" style="9"/>
    <col min="6140" max="6140" width="20" style="9" customWidth="1"/>
    <col min="6141" max="6141" width="9.140625" style="9"/>
    <col min="6142" max="6142" width="9.28515625" style="9" bestFit="1" customWidth="1"/>
    <col min="6143" max="6143" width="9.140625" style="9"/>
    <col min="6144" max="6144" width="10.5703125" style="9" customWidth="1"/>
    <col min="6145" max="6158" width="9.140625" style="9"/>
    <col min="6159" max="6159" width="10.85546875" style="9" customWidth="1"/>
    <col min="6160" max="6160" width="9.140625" style="9"/>
    <col min="6161" max="6161" width="16.85546875" style="9" customWidth="1"/>
    <col min="6162" max="6163" width="9.140625" style="9"/>
    <col min="6164" max="6164" width="12.7109375" style="9" customWidth="1"/>
    <col min="6165" max="6165" width="35.42578125" style="9" customWidth="1"/>
    <col min="6166" max="6166" width="12" style="9" bestFit="1" customWidth="1"/>
    <col min="6167" max="6167" width="11" style="9" bestFit="1" customWidth="1"/>
    <col min="6168" max="6395" width="9.140625" style="9"/>
    <col min="6396" max="6396" width="20" style="9" customWidth="1"/>
    <col min="6397" max="6397" width="9.140625" style="9"/>
    <col min="6398" max="6398" width="9.28515625" style="9" bestFit="1" customWidth="1"/>
    <col min="6399" max="6399" width="9.140625" style="9"/>
    <col min="6400" max="6400" width="10.5703125" style="9" customWidth="1"/>
    <col min="6401" max="6414" width="9.140625" style="9"/>
    <col min="6415" max="6415" width="10.85546875" style="9" customWidth="1"/>
    <col min="6416" max="6416" width="9.140625" style="9"/>
    <col min="6417" max="6417" width="16.85546875" style="9" customWidth="1"/>
    <col min="6418" max="6419" width="9.140625" style="9"/>
    <col min="6420" max="6420" width="12.7109375" style="9" customWidth="1"/>
    <col min="6421" max="6421" width="35.42578125" style="9" customWidth="1"/>
    <col min="6422" max="6422" width="12" style="9" bestFit="1" customWidth="1"/>
    <col min="6423" max="6423" width="11" style="9" bestFit="1" customWidth="1"/>
    <col min="6424" max="6651" width="9.140625" style="9"/>
    <col min="6652" max="6652" width="20" style="9" customWidth="1"/>
    <col min="6653" max="6653" width="9.140625" style="9"/>
    <col min="6654" max="6654" width="9.28515625" style="9" bestFit="1" customWidth="1"/>
    <col min="6655" max="6655" width="9.140625" style="9"/>
    <col min="6656" max="6656" width="10.5703125" style="9" customWidth="1"/>
    <col min="6657" max="6670" width="9.140625" style="9"/>
    <col min="6671" max="6671" width="10.85546875" style="9" customWidth="1"/>
    <col min="6672" max="6672" width="9.140625" style="9"/>
    <col min="6673" max="6673" width="16.85546875" style="9" customWidth="1"/>
    <col min="6674" max="6675" width="9.140625" style="9"/>
    <col min="6676" max="6676" width="12.7109375" style="9" customWidth="1"/>
    <col min="6677" max="6677" width="35.42578125" style="9" customWidth="1"/>
    <col min="6678" max="6678" width="12" style="9" bestFit="1" customWidth="1"/>
    <col min="6679" max="6679" width="11" style="9" bestFit="1" customWidth="1"/>
    <col min="6680" max="6907" width="9.140625" style="9"/>
    <col min="6908" max="6908" width="20" style="9" customWidth="1"/>
    <col min="6909" max="6909" width="9.140625" style="9"/>
    <col min="6910" max="6910" width="9.28515625" style="9" bestFit="1" customWidth="1"/>
    <col min="6911" max="6911" width="9.140625" style="9"/>
    <col min="6912" max="6912" width="10.5703125" style="9" customWidth="1"/>
    <col min="6913" max="6926" width="9.140625" style="9"/>
    <col min="6927" max="6927" width="10.85546875" style="9" customWidth="1"/>
    <col min="6928" max="6928" width="9.140625" style="9"/>
    <col min="6929" max="6929" width="16.85546875" style="9" customWidth="1"/>
    <col min="6930" max="6931" width="9.140625" style="9"/>
    <col min="6932" max="6932" width="12.7109375" style="9" customWidth="1"/>
    <col min="6933" max="6933" width="35.42578125" style="9" customWidth="1"/>
    <col min="6934" max="6934" width="12" style="9" bestFit="1" customWidth="1"/>
    <col min="6935" max="6935" width="11" style="9" bestFit="1" customWidth="1"/>
    <col min="6936" max="7163" width="9.140625" style="9"/>
    <col min="7164" max="7164" width="20" style="9" customWidth="1"/>
    <col min="7165" max="7165" width="9.140625" style="9"/>
    <col min="7166" max="7166" width="9.28515625" style="9" bestFit="1" customWidth="1"/>
    <col min="7167" max="7167" width="9.140625" style="9"/>
    <col min="7168" max="7168" width="10.5703125" style="9" customWidth="1"/>
    <col min="7169" max="7182" width="9.140625" style="9"/>
    <col min="7183" max="7183" width="10.85546875" style="9" customWidth="1"/>
    <col min="7184" max="7184" width="9.140625" style="9"/>
    <col min="7185" max="7185" width="16.85546875" style="9" customWidth="1"/>
    <col min="7186" max="7187" width="9.140625" style="9"/>
    <col min="7188" max="7188" width="12.7109375" style="9" customWidth="1"/>
    <col min="7189" max="7189" width="35.42578125" style="9" customWidth="1"/>
    <col min="7190" max="7190" width="12" style="9" bestFit="1" customWidth="1"/>
    <col min="7191" max="7191" width="11" style="9" bestFit="1" customWidth="1"/>
    <col min="7192" max="7419" width="9.140625" style="9"/>
    <col min="7420" max="7420" width="20" style="9" customWidth="1"/>
    <col min="7421" max="7421" width="9.140625" style="9"/>
    <col min="7422" max="7422" width="9.28515625" style="9" bestFit="1" customWidth="1"/>
    <col min="7423" max="7423" width="9.140625" style="9"/>
    <col min="7424" max="7424" width="10.5703125" style="9" customWidth="1"/>
    <col min="7425" max="7438" width="9.140625" style="9"/>
    <col min="7439" max="7439" width="10.85546875" style="9" customWidth="1"/>
    <col min="7440" max="7440" width="9.140625" style="9"/>
    <col min="7441" max="7441" width="16.85546875" style="9" customWidth="1"/>
    <col min="7442" max="7443" width="9.140625" style="9"/>
    <col min="7444" max="7444" width="12.7109375" style="9" customWidth="1"/>
    <col min="7445" max="7445" width="35.42578125" style="9" customWidth="1"/>
    <col min="7446" max="7446" width="12" style="9" bestFit="1" customWidth="1"/>
    <col min="7447" max="7447" width="11" style="9" bestFit="1" customWidth="1"/>
    <col min="7448" max="7675" width="9.140625" style="9"/>
    <col min="7676" max="7676" width="20" style="9" customWidth="1"/>
    <col min="7677" max="7677" width="9.140625" style="9"/>
    <col min="7678" max="7678" width="9.28515625" style="9" bestFit="1" customWidth="1"/>
    <col min="7679" max="7679" width="9.140625" style="9"/>
    <col min="7680" max="7680" width="10.5703125" style="9" customWidth="1"/>
    <col min="7681" max="7694" width="9.140625" style="9"/>
    <col min="7695" max="7695" width="10.85546875" style="9" customWidth="1"/>
    <col min="7696" max="7696" width="9.140625" style="9"/>
    <col min="7697" max="7697" width="16.85546875" style="9" customWidth="1"/>
    <col min="7698" max="7699" width="9.140625" style="9"/>
    <col min="7700" max="7700" width="12.7109375" style="9" customWidth="1"/>
    <col min="7701" max="7701" width="35.42578125" style="9" customWidth="1"/>
    <col min="7702" max="7702" width="12" style="9" bestFit="1" customWidth="1"/>
    <col min="7703" max="7703" width="11" style="9" bestFit="1" customWidth="1"/>
    <col min="7704" max="7931" width="9.140625" style="9"/>
    <col min="7932" max="7932" width="20" style="9" customWidth="1"/>
    <col min="7933" max="7933" width="9.140625" style="9"/>
    <col min="7934" max="7934" width="9.28515625" style="9" bestFit="1" customWidth="1"/>
    <col min="7935" max="7935" width="9.140625" style="9"/>
    <col min="7936" max="7936" width="10.5703125" style="9" customWidth="1"/>
    <col min="7937" max="7950" width="9.140625" style="9"/>
    <col min="7951" max="7951" width="10.85546875" style="9" customWidth="1"/>
    <col min="7952" max="7952" width="9.140625" style="9"/>
    <col min="7953" max="7953" width="16.85546875" style="9" customWidth="1"/>
    <col min="7954" max="7955" width="9.140625" style="9"/>
    <col min="7956" max="7956" width="12.7109375" style="9" customWidth="1"/>
    <col min="7957" max="7957" width="35.42578125" style="9" customWidth="1"/>
    <col min="7958" max="7958" width="12" style="9" bestFit="1" customWidth="1"/>
    <col min="7959" max="7959" width="11" style="9" bestFit="1" customWidth="1"/>
    <col min="7960" max="8187" width="9.140625" style="9"/>
    <col min="8188" max="8188" width="20" style="9" customWidth="1"/>
    <col min="8189" max="8189" width="9.140625" style="9"/>
    <col min="8190" max="8190" width="9.28515625" style="9" bestFit="1" customWidth="1"/>
    <col min="8191" max="8191" width="9.140625" style="9"/>
    <col min="8192" max="8192" width="10.5703125" style="9" customWidth="1"/>
    <col min="8193" max="8206" width="9.140625" style="9"/>
    <col min="8207" max="8207" width="10.85546875" style="9" customWidth="1"/>
    <col min="8208" max="8208" width="9.140625" style="9"/>
    <col min="8209" max="8209" width="16.85546875" style="9" customWidth="1"/>
    <col min="8210" max="8211" width="9.140625" style="9"/>
    <col min="8212" max="8212" width="12.7109375" style="9" customWidth="1"/>
    <col min="8213" max="8213" width="35.42578125" style="9" customWidth="1"/>
    <col min="8214" max="8214" width="12" style="9" bestFit="1" customWidth="1"/>
    <col min="8215" max="8215" width="11" style="9" bestFit="1" customWidth="1"/>
    <col min="8216" max="8443" width="9.140625" style="9"/>
    <col min="8444" max="8444" width="20" style="9" customWidth="1"/>
    <col min="8445" max="8445" width="9.140625" style="9"/>
    <col min="8446" max="8446" width="9.28515625" style="9" bestFit="1" customWidth="1"/>
    <col min="8447" max="8447" width="9.140625" style="9"/>
    <col min="8448" max="8448" width="10.5703125" style="9" customWidth="1"/>
    <col min="8449" max="8462" width="9.140625" style="9"/>
    <col min="8463" max="8463" width="10.85546875" style="9" customWidth="1"/>
    <col min="8464" max="8464" width="9.140625" style="9"/>
    <col min="8465" max="8465" width="16.85546875" style="9" customWidth="1"/>
    <col min="8466" max="8467" width="9.140625" style="9"/>
    <col min="8468" max="8468" width="12.7109375" style="9" customWidth="1"/>
    <col min="8469" max="8469" width="35.42578125" style="9" customWidth="1"/>
    <col min="8470" max="8470" width="12" style="9" bestFit="1" customWidth="1"/>
    <col min="8471" max="8471" width="11" style="9" bestFit="1" customWidth="1"/>
    <col min="8472" max="8699" width="9.140625" style="9"/>
    <col min="8700" max="8700" width="20" style="9" customWidth="1"/>
    <col min="8701" max="8701" width="9.140625" style="9"/>
    <col min="8702" max="8702" width="9.28515625" style="9" bestFit="1" customWidth="1"/>
    <col min="8703" max="8703" width="9.140625" style="9"/>
    <col min="8704" max="8704" width="10.5703125" style="9" customWidth="1"/>
    <col min="8705" max="8718" width="9.140625" style="9"/>
    <col min="8719" max="8719" width="10.85546875" style="9" customWidth="1"/>
    <col min="8720" max="8720" width="9.140625" style="9"/>
    <col min="8721" max="8721" width="16.85546875" style="9" customWidth="1"/>
    <col min="8722" max="8723" width="9.140625" style="9"/>
    <col min="8724" max="8724" width="12.7109375" style="9" customWidth="1"/>
    <col min="8725" max="8725" width="35.42578125" style="9" customWidth="1"/>
    <col min="8726" max="8726" width="12" style="9" bestFit="1" customWidth="1"/>
    <col min="8727" max="8727" width="11" style="9" bestFit="1" customWidth="1"/>
    <col min="8728" max="8955" width="9.140625" style="9"/>
    <col min="8956" max="8956" width="20" style="9" customWidth="1"/>
    <col min="8957" max="8957" width="9.140625" style="9"/>
    <col min="8958" max="8958" width="9.28515625" style="9" bestFit="1" customWidth="1"/>
    <col min="8959" max="8959" width="9.140625" style="9"/>
    <col min="8960" max="8960" width="10.5703125" style="9" customWidth="1"/>
    <col min="8961" max="8974" width="9.140625" style="9"/>
    <col min="8975" max="8975" width="10.85546875" style="9" customWidth="1"/>
    <col min="8976" max="8976" width="9.140625" style="9"/>
    <col min="8977" max="8977" width="16.85546875" style="9" customWidth="1"/>
    <col min="8978" max="8979" width="9.140625" style="9"/>
    <col min="8980" max="8980" width="12.7109375" style="9" customWidth="1"/>
    <col min="8981" max="8981" width="35.42578125" style="9" customWidth="1"/>
    <col min="8982" max="8982" width="12" style="9" bestFit="1" customWidth="1"/>
    <col min="8983" max="8983" width="11" style="9" bestFit="1" customWidth="1"/>
    <col min="8984" max="9211" width="9.140625" style="9"/>
    <col min="9212" max="9212" width="20" style="9" customWidth="1"/>
    <col min="9213" max="9213" width="9.140625" style="9"/>
    <col min="9214" max="9214" width="9.28515625" style="9" bestFit="1" customWidth="1"/>
    <col min="9215" max="9215" width="9.140625" style="9"/>
    <col min="9216" max="9216" width="10.5703125" style="9" customWidth="1"/>
    <col min="9217" max="9230" width="9.140625" style="9"/>
    <col min="9231" max="9231" width="10.85546875" style="9" customWidth="1"/>
    <col min="9232" max="9232" width="9.140625" style="9"/>
    <col min="9233" max="9233" width="16.85546875" style="9" customWidth="1"/>
    <col min="9234" max="9235" width="9.140625" style="9"/>
    <col min="9236" max="9236" width="12.7109375" style="9" customWidth="1"/>
    <col min="9237" max="9237" width="35.42578125" style="9" customWidth="1"/>
    <col min="9238" max="9238" width="12" style="9" bestFit="1" customWidth="1"/>
    <col min="9239" max="9239" width="11" style="9" bestFit="1" customWidth="1"/>
    <col min="9240" max="9467" width="9.140625" style="9"/>
    <col min="9468" max="9468" width="20" style="9" customWidth="1"/>
    <col min="9469" max="9469" width="9.140625" style="9"/>
    <col min="9470" max="9470" width="9.28515625" style="9" bestFit="1" customWidth="1"/>
    <col min="9471" max="9471" width="9.140625" style="9"/>
    <col min="9472" max="9472" width="10.5703125" style="9" customWidth="1"/>
    <col min="9473" max="9486" width="9.140625" style="9"/>
    <col min="9487" max="9487" width="10.85546875" style="9" customWidth="1"/>
    <col min="9488" max="9488" width="9.140625" style="9"/>
    <col min="9489" max="9489" width="16.85546875" style="9" customWidth="1"/>
    <col min="9490" max="9491" width="9.140625" style="9"/>
    <col min="9492" max="9492" width="12.7109375" style="9" customWidth="1"/>
    <col min="9493" max="9493" width="35.42578125" style="9" customWidth="1"/>
    <col min="9494" max="9494" width="12" style="9" bestFit="1" customWidth="1"/>
    <col min="9495" max="9495" width="11" style="9" bestFit="1" customWidth="1"/>
    <col min="9496" max="9723" width="9.140625" style="9"/>
    <col min="9724" max="9724" width="20" style="9" customWidth="1"/>
    <col min="9725" max="9725" width="9.140625" style="9"/>
    <col min="9726" max="9726" width="9.28515625" style="9" bestFit="1" customWidth="1"/>
    <col min="9727" max="9727" width="9.140625" style="9"/>
    <col min="9728" max="9728" width="10.5703125" style="9" customWidth="1"/>
    <col min="9729" max="9742" width="9.140625" style="9"/>
    <col min="9743" max="9743" width="10.85546875" style="9" customWidth="1"/>
    <col min="9744" max="9744" width="9.140625" style="9"/>
    <col min="9745" max="9745" width="16.85546875" style="9" customWidth="1"/>
    <col min="9746" max="9747" width="9.140625" style="9"/>
    <col min="9748" max="9748" width="12.7109375" style="9" customWidth="1"/>
    <col min="9749" max="9749" width="35.42578125" style="9" customWidth="1"/>
    <col min="9750" max="9750" width="12" style="9" bestFit="1" customWidth="1"/>
    <col min="9751" max="9751" width="11" style="9" bestFit="1" customWidth="1"/>
    <col min="9752" max="9979" width="9.140625" style="9"/>
    <col min="9980" max="9980" width="20" style="9" customWidth="1"/>
    <col min="9981" max="9981" width="9.140625" style="9"/>
    <col min="9982" max="9982" width="9.28515625" style="9" bestFit="1" customWidth="1"/>
    <col min="9983" max="9983" width="9.140625" style="9"/>
    <col min="9984" max="9984" width="10.5703125" style="9" customWidth="1"/>
    <col min="9985" max="9998" width="9.140625" style="9"/>
    <col min="9999" max="9999" width="10.85546875" style="9" customWidth="1"/>
    <col min="10000" max="10000" width="9.140625" style="9"/>
    <col min="10001" max="10001" width="16.85546875" style="9" customWidth="1"/>
    <col min="10002" max="10003" width="9.140625" style="9"/>
    <col min="10004" max="10004" width="12.7109375" style="9" customWidth="1"/>
    <col min="10005" max="10005" width="35.42578125" style="9" customWidth="1"/>
    <col min="10006" max="10006" width="12" style="9" bestFit="1" customWidth="1"/>
    <col min="10007" max="10007" width="11" style="9" bestFit="1" customWidth="1"/>
    <col min="10008" max="10235" width="9.140625" style="9"/>
    <col min="10236" max="10236" width="20" style="9" customWidth="1"/>
    <col min="10237" max="10237" width="9.140625" style="9"/>
    <col min="10238" max="10238" width="9.28515625" style="9" bestFit="1" customWidth="1"/>
    <col min="10239" max="10239" width="9.140625" style="9"/>
    <col min="10240" max="10240" width="10.5703125" style="9" customWidth="1"/>
    <col min="10241" max="10254" width="9.140625" style="9"/>
    <col min="10255" max="10255" width="10.85546875" style="9" customWidth="1"/>
    <col min="10256" max="10256" width="9.140625" style="9"/>
    <col min="10257" max="10257" width="16.85546875" style="9" customWidth="1"/>
    <col min="10258" max="10259" width="9.140625" style="9"/>
    <col min="10260" max="10260" width="12.7109375" style="9" customWidth="1"/>
    <col min="10261" max="10261" width="35.42578125" style="9" customWidth="1"/>
    <col min="10262" max="10262" width="12" style="9" bestFit="1" customWidth="1"/>
    <col min="10263" max="10263" width="11" style="9" bestFit="1" customWidth="1"/>
    <col min="10264" max="10491" width="9.140625" style="9"/>
    <col min="10492" max="10492" width="20" style="9" customWidth="1"/>
    <col min="10493" max="10493" width="9.140625" style="9"/>
    <col min="10494" max="10494" width="9.28515625" style="9" bestFit="1" customWidth="1"/>
    <col min="10495" max="10495" width="9.140625" style="9"/>
    <col min="10496" max="10496" width="10.5703125" style="9" customWidth="1"/>
    <col min="10497" max="10510" width="9.140625" style="9"/>
    <col min="10511" max="10511" width="10.85546875" style="9" customWidth="1"/>
    <col min="10512" max="10512" width="9.140625" style="9"/>
    <col min="10513" max="10513" width="16.85546875" style="9" customWidth="1"/>
    <col min="10514" max="10515" width="9.140625" style="9"/>
    <col min="10516" max="10516" width="12.7109375" style="9" customWidth="1"/>
    <col min="10517" max="10517" width="35.42578125" style="9" customWidth="1"/>
    <col min="10518" max="10518" width="12" style="9" bestFit="1" customWidth="1"/>
    <col min="10519" max="10519" width="11" style="9" bestFit="1" customWidth="1"/>
    <col min="10520" max="10747" width="9.140625" style="9"/>
    <col min="10748" max="10748" width="20" style="9" customWidth="1"/>
    <col min="10749" max="10749" width="9.140625" style="9"/>
    <col min="10750" max="10750" width="9.28515625" style="9" bestFit="1" customWidth="1"/>
    <col min="10751" max="10751" width="9.140625" style="9"/>
    <col min="10752" max="10752" width="10.5703125" style="9" customWidth="1"/>
    <col min="10753" max="10766" width="9.140625" style="9"/>
    <col min="10767" max="10767" width="10.85546875" style="9" customWidth="1"/>
    <col min="10768" max="10768" width="9.140625" style="9"/>
    <col min="10769" max="10769" width="16.85546875" style="9" customWidth="1"/>
    <col min="10770" max="10771" width="9.140625" style="9"/>
    <col min="10772" max="10772" width="12.7109375" style="9" customWidth="1"/>
    <col min="10773" max="10773" width="35.42578125" style="9" customWidth="1"/>
    <col min="10774" max="10774" width="12" style="9" bestFit="1" customWidth="1"/>
    <col min="10775" max="10775" width="11" style="9" bestFit="1" customWidth="1"/>
    <col min="10776" max="11003" width="9.140625" style="9"/>
    <col min="11004" max="11004" width="20" style="9" customWidth="1"/>
    <col min="11005" max="11005" width="9.140625" style="9"/>
    <col min="11006" max="11006" width="9.28515625" style="9" bestFit="1" customWidth="1"/>
    <col min="11007" max="11007" width="9.140625" style="9"/>
    <col min="11008" max="11008" width="10.5703125" style="9" customWidth="1"/>
    <col min="11009" max="11022" width="9.140625" style="9"/>
    <col min="11023" max="11023" width="10.85546875" style="9" customWidth="1"/>
    <col min="11024" max="11024" width="9.140625" style="9"/>
    <col min="11025" max="11025" width="16.85546875" style="9" customWidth="1"/>
    <col min="11026" max="11027" width="9.140625" style="9"/>
    <col min="11028" max="11028" width="12.7109375" style="9" customWidth="1"/>
    <col min="11029" max="11029" width="35.42578125" style="9" customWidth="1"/>
    <col min="11030" max="11030" width="12" style="9" bestFit="1" customWidth="1"/>
    <col min="11031" max="11031" width="11" style="9" bestFit="1" customWidth="1"/>
    <col min="11032" max="11259" width="9.140625" style="9"/>
    <col min="11260" max="11260" width="20" style="9" customWidth="1"/>
    <col min="11261" max="11261" width="9.140625" style="9"/>
    <col min="11262" max="11262" width="9.28515625" style="9" bestFit="1" customWidth="1"/>
    <col min="11263" max="11263" width="9.140625" style="9"/>
    <col min="11264" max="11264" width="10.5703125" style="9" customWidth="1"/>
    <col min="11265" max="11278" width="9.140625" style="9"/>
    <col min="11279" max="11279" width="10.85546875" style="9" customWidth="1"/>
    <col min="11280" max="11280" width="9.140625" style="9"/>
    <col min="11281" max="11281" width="16.85546875" style="9" customWidth="1"/>
    <col min="11282" max="11283" width="9.140625" style="9"/>
    <col min="11284" max="11284" width="12.7109375" style="9" customWidth="1"/>
    <col min="11285" max="11285" width="35.42578125" style="9" customWidth="1"/>
    <col min="11286" max="11286" width="12" style="9" bestFit="1" customWidth="1"/>
    <col min="11287" max="11287" width="11" style="9" bestFit="1" customWidth="1"/>
    <col min="11288" max="11515" width="9.140625" style="9"/>
    <col min="11516" max="11516" width="20" style="9" customWidth="1"/>
    <col min="11517" max="11517" width="9.140625" style="9"/>
    <col min="11518" max="11518" width="9.28515625" style="9" bestFit="1" customWidth="1"/>
    <col min="11519" max="11519" width="9.140625" style="9"/>
    <col min="11520" max="11520" width="10.5703125" style="9" customWidth="1"/>
    <col min="11521" max="11534" width="9.140625" style="9"/>
    <col min="11535" max="11535" width="10.85546875" style="9" customWidth="1"/>
    <col min="11536" max="11536" width="9.140625" style="9"/>
    <col min="11537" max="11537" width="16.85546875" style="9" customWidth="1"/>
    <col min="11538" max="11539" width="9.140625" style="9"/>
    <col min="11540" max="11540" width="12.7109375" style="9" customWidth="1"/>
    <col min="11541" max="11541" width="35.42578125" style="9" customWidth="1"/>
    <col min="11542" max="11542" width="12" style="9" bestFit="1" customWidth="1"/>
    <col min="11543" max="11543" width="11" style="9" bestFit="1" customWidth="1"/>
    <col min="11544" max="11771" width="9.140625" style="9"/>
    <col min="11772" max="11772" width="20" style="9" customWidth="1"/>
    <col min="11773" max="11773" width="9.140625" style="9"/>
    <col min="11774" max="11774" width="9.28515625" style="9" bestFit="1" customWidth="1"/>
    <col min="11775" max="11775" width="9.140625" style="9"/>
    <col min="11776" max="11776" width="10.5703125" style="9" customWidth="1"/>
    <col min="11777" max="11790" width="9.140625" style="9"/>
    <col min="11791" max="11791" width="10.85546875" style="9" customWidth="1"/>
    <col min="11792" max="11792" width="9.140625" style="9"/>
    <col min="11793" max="11793" width="16.85546875" style="9" customWidth="1"/>
    <col min="11794" max="11795" width="9.140625" style="9"/>
    <col min="11796" max="11796" width="12.7109375" style="9" customWidth="1"/>
    <col min="11797" max="11797" width="35.42578125" style="9" customWidth="1"/>
    <col min="11798" max="11798" width="12" style="9" bestFit="1" customWidth="1"/>
    <col min="11799" max="11799" width="11" style="9" bestFit="1" customWidth="1"/>
    <col min="11800" max="12027" width="9.140625" style="9"/>
    <col min="12028" max="12028" width="20" style="9" customWidth="1"/>
    <col min="12029" max="12029" width="9.140625" style="9"/>
    <col min="12030" max="12030" width="9.28515625" style="9" bestFit="1" customWidth="1"/>
    <col min="12031" max="12031" width="9.140625" style="9"/>
    <col min="12032" max="12032" width="10.5703125" style="9" customWidth="1"/>
    <col min="12033" max="12046" width="9.140625" style="9"/>
    <col min="12047" max="12047" width="10.85546875" style="9" customWidth="1"/>
    <col min="12048" max="12048" width="9.140625" style="9"/>
    <col min="12049" max="12049" width="16.85546875" style="9" customWidth="1"/>
    <col min="12050" max="12051" width="9.140625" style="9"/>
    <col min="12052" max="12052" width="12.7109375" style="9" customWidth="1"/>
    <col min="12053" max="12053" width="35.42578125" style="9" customWidth="1"/>
    <col min="12054" max="12054" width="12" style="9" bestFit="1" customWidth="1"/>
    <col min="12055" max="12055" width="11" style="9" bestFit="1" customWidth="1"/>
    <col min="12056" max="12283" width="9.140625" style="9"/>
    <col min="12284" max="12284" width="20" style="9" customWidth="1"/>
    <col min="12285" max="12285" width="9.140625" style="9"/>
    <col min="12286" max="12286" width="9.28515625" style="9" bestFit="1" customWidth="1"/>
    <col min="12287" max="12287" width="9.140625" style="9"/>
    <col min="12288" max="12288" width="10.5703125" style="9" customWidth="1"/>
    <col min="12289" max="12302" width="9.140625" style="9"/>
    <col min="12303" max="12303" width="10.85546875" style="9" customWidth="1"/>
    <col min="12304" max="12304" width="9.140625" style="9"/>
    <col min="12305" max="12305" width="16.85546875" style="9" customWidth="1"/>
    <col min="12306" max="12307" width="9.140625" style="9"/>
    <col min="12308" max="12308" width="12.7109375" style="9" customWidth="1"/>
    <col min="12309" max="12309" width="35.42578125" style="9" customWidth="1"/>
    <col min="12310" max="12310" width="12" style="9" bestFit="1" customWidth="1"/>
    <col min="12311" max="12311" width="11" style="9" bestFit="1" customWidth="1"/>
    <col min="12312" max="12539" width="9.140625" style="9"/>
    <col min="12540" max="12540" width="20" style="9" customWidth="1"/>
    <col min="12541" max="12541" width="9.140625" style="9"/>
    <col min="12542" max="12542" width="9.28515625" style="9" bestFit="1" customWidth="1"/>
    <col min="12543" max="12543" width="9.140625" style="9"/>
    <col min="12544" max="12544" width="10.5703125" style="9" customWidth="1"/>
    <col min="12545" max="12558" width="9.140625" style="9"/>
    <col min="12559" max="12559" width="10.85546875" style="9" customWidth="1"/>
    <col min="12560" max="12560" width="9.140625" style="9"/>
    <col min="12561" max="12561" width="16.85546875" style="9" customWidth="1"/>
    <col min="12562" max="12563" width="9.140625" style="9"/>
    <col min="12564" max="12564" width="12.7109375" style="9" customWidth="1"/>
    <col min="12565" max="12565" width="35.42578125" style="9" customWidth="1"/>
    <col min="12566" max="12566" width="12" style="9" bestFit="1" customWidth="1"/>
    <col min="12567" max="12567" width="11" style="9" bestFit="1" customWidth="1"/>
    <col min="12568" max="12795" width="9.140625" style="9"/>
    <col min="12796" max="12796" width="20" style="9" customWidth="1"/>
    <col min="12797" max="12797" width="9.140625" style="9"/>
    <col min="12798" max="12798" width="9.28515625" style="9" bestFit="1" customWidth="1"/>
    <col min="12799" max="12799" width="9.140625" style="9"/>
    <col min="12800" max="12800" width="10.5703125" style="9" customWidth="1"/>
    <col min="12801" max="12814" width="9.140625" style="9"/>
    <col min="12815" max="12815" width="10.85546875" style="9" customWidth="1"/>
    <col min="12816" max="12816" width="9.140625" style="9"/>
    <col min="12817" max="12817" width="16.85546875" style="9" customWidth="1"/>
    <col min="12818" max="12819" width="9.140625" style="9"/>
    <col min="12820" max="12820" width="12.7109375" style="9" customWidth="1"/>
    <col min="12821" max="12821" width="35.42578125" style="9" customWidth="1"/>
    <col min="12822" max="12822" width="12" style="9" bestFit="1" customWidth="1"/>
    <col min="12823" max="12823" width="11" style="9" bestFit="1" customWidth="1"/>
    <col min="12824" max="13051" width="9.140625" style="9"/>
    <col min="13052" max="13052" width="20" style="9" customWidth="1"/>
    <col min="13053" max="13053" width="9.140625" style="9"/>
    <col min="13054" max="13054" width="9.28515625" style="9" bestFit="1" customWidth="1"/>
    <col min="13055" max="13055" width="9.140625" style="9"/>
    <col min="13056" max="13056" width="10.5703125" style="9" customWidth="1"/>
    <col min="13057" max="13070" width="9.140625" style="9"/>
    <col min="13071" max="13071" width="10.85546875" style="9" customWidth="1"/>
    <col min="13072" max="13072" width="9.140625" style="9"/>
    <col min="13073" max="13073" width="16.85546875" style="9" customWidth="1"/>
    <col min="13074" max="13075" width="9.140625" style="9"/>
    <col min="13076" max="13076" width="12.7109375" style="9" customWidth="1"/>
    <col min="13077" max="13077" width="35.42578125" style="9" customWidth="1"/>
    <col min="13078" max="13078" width="12" style="9" bestFit="1" customWidth="1"/>
    <col min="13079" max="13079" width="11" style="9" bestFit="1" customWidth="1"/>
    <col min="13080" max="13307" width="9.140625" style="9"/>
    <col min="13308" max="13308" width="20" style="9" customWidth="1"/>
    <col min="13309" max="13309" width="9.140625" style="9"/>
    <col min="13310" max="13310" width="9.28515625" style="9" bestFit="1" customWidth="1"/>
    <col min="13311" max="13311" width="9.140625" style="9"/>
    <col min="13312" max="13312" width="10.5703125" style="9" customWidth="1"/>
    <col min="13313" max="13326" width="9.140625" style="9"/>
    <col min="13327" max="13327" width="10.85546875" style="9" customWidth="1"/>
    <col min="13328" max="13328" width="9.140625" style="9"/>
    <col min="13329" max="13329" width="16.85546875" style="9" customWidth="1"/>
    <col min="13330" max="13331" width="9.140625" style="9"/>
    <col min="13332" max="13332" width="12.7109375" style="9" customWidth="1"/>
    <col min="13333" max="13333" width="35.42578125" style="9" customWidth="1"/>
    <col min="13334" max="13334" width="12" style="9" bestFit="1" customWidth="1"/>
    <col min="13335" max="13335" width="11" style="9" bestFit="1" customWidth="1"/>
    <col min="13336" max="13563" width="9.140625" style="9"/>
    <col min="13564" max="13564" width="20" style="9" customWidth="1"/>
    <col min="13565" max="13565" width="9.140625" style="9"/>
    <col min="13566" max="13566" width="9.28515625" style="9" bestFit="1" customWidth="1"/>
    <col min="13567" max="13567" width="9.140625" style="9"/>
    <col min="13568" max="13568" width="10.5703125" style="9" customWidth="1"/>
    <col min="13569" max="13582" width="9.140625" style="9"/>
    <col min="13583" max="13583" width="10.85546875" style="9" customWidth="1"/>
    <col min="13584" max="13584" width="9.140625" style="9"/>
    <col min="13585" max="13585" width="16.85546875" style="9" customWidth="1"/>
    <col min="13586" max="13587" width="9.140625" style="9"/>
    <col min="13588" max="13588" width="12.7109375" style="9" customWidth="1"/>
    <col min="13589" max="13589" width="35.42578125" style="9" customWidth="1"/>
    <col min="13590" max="13590" width="12" style="9" bestFit="1" customWidth="1"/>
    <col min="13591" max="13591" width="11" style="9" bestFit="1" customWidth="1"/>
    <col min="13592" max="13819" width="9.140625" style="9"/>
    <col min="13820" max="13820" width="20" style="9" customWidth="1"/>
    <col min="13821" max="13821" width="9.140625" style="9"/>
    <col min="13822" max="13822" width="9.28515625" style="9" bestFit="1" customWidth="1"/>
    <col min="13823" max="13823" width="9.140625" style="9"/>
    <col min="13824" max="13824" width="10.5703125" style="9" customWidth="1"/>
    <col min="13825" max="13838" width="9.140625" style="9"/>
    <col min="13839" max="13839" width="10.85546875" style="9" customWidth="1"/>
    <col min="13840" max="13840" width="9.140625" style="9"/>
    <col min="13841" max="13841" width="16.85546875" style="9" customWidth="1"/>
    <col min="13842" max="13843" width="9.140625" style="9"/>
    <col min="13844" max="13844" width="12.7109375" style="9" customWidth="1"/>
    <col min="13845" max="13845" width="35.42578125" style="9" customWidth="1"/>
    <col min="13846" max="13846" width="12" style="9" bestFit="1" customWidth="1"/>
    <col min="13847" max="13847" width="11" style="9" bestFit="1" customWidth="1"/>
    <col min="13848" max="14075" width="9.140625" style="9"/>
    <col min="14076" max="14076" width="20" style="9" customWidth="1"/>
    <col min="14077" max="14077" width="9.140625" style="9"/>
    <col min="14078" max="14078" width="9.28515625" style="9" bestFit="1" customWidth="1"/>
    <col min="14079" max="14079" width="9.140625" style="9"/>
    <col min="14080" max="14080" width="10.5703125" style="9" customWidth="1"/>
    <col min="14081" max="14094" width="9.140625" style="9"/>
    <col min="14095" max="14095" width="10.85546875" style="9" customWidth="1"/>
    <col min="14096" max="14096" width="9.140625" style="9"/>
    <col min="14097" max="14097" width="16.85546875" style="9" customWidth="1"/>
    <col min="14098" max="14099" width="9.140625" style="9"/>
    <col min="14100" max="14100" width="12.7109375" style="9" customWidth="1"/>
    <col min="14101" max="14101" width="35.42578125" style="9" customWidth="1"/>
    <col min="14102" max="14102" width="12" style="9" bestFit="1" customWidth="1"/>
    <col min="14103" max="14103" width="11" style="9" bestFit="1" customWidth="1"/>
    <col min="14104" max="14331" width="9.140625" style="9"/>
    <col min="14332" max="14332" width="20" style="9" customWidth="1"/>
    <col min="14333" max="14333" width="9.140625" style="9"/>
    <col min="14334" max="14334" width="9.28515625" style="9" bestFit="1" customWidth="1"/>
    <col min="14335" max="14335" width="9.140625" style="9"/>
    <col min="14336" max="14336" width="10.5703125" style="9" customWidth="1"/>
    <col min="14337" max="14350" width="9.140625" style="9"/>
    <col min="14351" max="14351" width="10.85546875" style="9" customWidth="1"/>
    <col min="14352" max="14352" width="9.140625" style="9"/>
    <col min="14353" max="14353" width="16.85546875" style="9" customWidth="1"/>
    <col min="14354" max="14355" width="9.140625" style="9"/>
    <col min="14356" max="14356" width="12.7109375" style="9" customWidth="1"/>
    <col min="14357" max="14357" width="35.42578125" style="9" customWidth="1"/>
    <col min="14358" max="14358" width="12" style="9" bestFit="1" customWidth="1"/>
    <col min="14359" max="14359" width="11" style="9" bestFit="1" customWidth="1"/>
    <col min="14360" max="14587" width="9.140625" style="9"/>
    <col min="14588" max="14588" width="20" style="9" customWidth="1"/>
    <col min="14589" max="14589" width="9.140625" style="9"/>
    <col min="14590" max="14590" width="9.28515625" style="9" bestFit="1" customWidth="1"/>
    <col min="14591" max="14591" width="9.140625" style="9"/>
    <col min="14592" max="14592" width="10.5703125" style="9" customWidth="1"/>
    <col min="14593" max="14606" width="9.140625" style="9"/>
    <col min="14607" max="14607" width="10.85546875" style="9" customWidth="1"/>
    <col min="14608" max="14608" width="9.140625" style="9"/>
    <col min="14609" max="14609" width="16.85546875" style="9" customWidth="1"/>
    <col min="14610" max="14611" width="9.140625" style="9"/>
    <col min="14612" max="14612" width="12.7109375" style="9" customWidth="1"/>
    <col min="14613" max="14613" width="35.42578125" style="9" customWidth="1"/>
    <col min="14614" max="14614" width="12" style="9" bestFit="1" customWidth="1"/>
    <col min="14615" max="14615" width="11" style="9" bestFit="1" customWidth="1"/>
    <col min="14616" max="14843" width="9.140625" style="9"/>
    <col min="14844" max="14844" width="20" style="9" customWidth="1"/>
    <col min="14845" max="14845" width="9.140625" style="9"/>
    <col min="14846" max="14846" width="9.28515625" style="9" bestFit="1" customWidth="1"/>
    <col min="14847" max="14847" width="9.140625" style="9"/>
    <col min="14848" max="14848" width="10.5703125" style="9" customWidth="1"/>
    <col min="14849" max="14862" width="9.140625" style="9"/>
    <col min="14863" max="14863" width="10.85546875" style="9" customWidth="1"/>
    <col min="14864" max="14864" width="9.140625" style="9"/>
    <col min="14865" max="14865" width="16.85546875" style="9" customWidth="1"/>
    <col min="14866" max="14867" width="9.140625" style="9"/>
    <col min="14868" max="14868" width="12.7109375" style="9" customWidth="1"/>
    <col min="14869" max="14869" width="35.42578125" style="9" customWidth="1"/>
    <col min="14870" max="14870" width="12" style="9" bestFit="1" customWidth="1"/>
    <col min="14871" max="14871" width="11" style="9" bestFit="1" customWidth="1"/>
    <col min="14872" max="15099" width="9.140625" style="9"/>
    <col min="15100" max="15100" width="20" style="9" customWidth="1"/>
    <col min="15101" max="15101" width="9.140625" style="9"/>
    <col min="15102" max="15102" width="9.28515625" style="9" bestFit="1" customWidth="1"/>
    <col min="15103" max="15103" width="9.140625" style="9"/>
    <col min="15104" max="15104" width="10.5703125" style="9" customWidth="1"/>
    <col min="15105" max="15118" width="9.140625" style="9"/>
    <col min="15119" max="15119" width="10.85546875" style="9" customWidth="1"/>
    <col min="15120" max="15120" width="9.140625" style="9"/>
    <col min="15121" max="15121" width="16.85546875" style="9" customWidth="1"/>
    <col min="15122" max="15123" width="9.140625" style="9"/>
    <col min="15124" max="15124" width="12.7109375" style="9" customWidth="1"/>
    <col min="15125" max="15125" width="35.42578125" style="9" customWidth="1"/>
    <col min="15126" max="15126" width="12" style="9" bestFit="1" customWidth="1"/>
    <col min="15127" max="15127" width="11" style="9" bestFit="1" customWidth="1"/>
    <col min="15128" max="15355" width="9.140625" style="9"/>
    <col min="15356" max="15356" width="20" style="9" customWidth="1"/>
    <col min="15357" max="15357" width="9.140625" style="9"/>
    <col min="15358" max="15358" width="9.28515625" style="9" bestFit="1" customWidth="1"/>
    <col min="15359" max="15359" width="9.140625" style="9"/>
    <col min="15360" max="15360" width="10.5703125" style="9" customWidth="1"/>
    <col min="15361" max="15374" width="9.140625" style="9"/>
    <col min="15375" max="15375" width="10.85546875" style="9" customWidth="1"/>
    <col min="15376" max="15376" width="9.140625" style="9"/>
    <col min="15377" max="15377" width="16.85546875" style="9" customWidth="1"/>
    <col min="15378" max="15379" width="9.140625" style="9"/>
    <col min="15380" max="15380" width="12.7109375" style="9" customWidth="1"/>
    <col min="15381" max="15381" width="35.42578125" style="9" customWidth="1"/>
    <col min="15382" max="15382" width="12" style="9" bestFit="1" customWidth="1"/>
    <col min="15383" max="15383" width="11" style="9" bestFit="1" customWidth="1"/>
    <col min="15384" max="15611" width="9.140625" style="9"/>
    <col min="15612" max="15612" width="20" style="9" customWidth="1"/>
    <col min="15613" max="15613" width="9.140625" style="9"/>
    <col min="15614" max="15614" width="9.28515625" style="9" bestFit="1" customWidth="1"/>
    <col min="15615" max="15615" width="9.140625" style="9"/>
    <col min="15616" max="15616" width="10.5703125" style="9" customWidth="1"/>
    <col min="15617" max="15630" width="9.140625" style="9"/>
    <col min="15631" max="15631" width="10.85546875" style="9" customWidth="1"/>
    <col min="15632" max="15632" width="9.140625" style="9"/>
    <col min="15633" max="15633" width="16.85546875" style="9" customWidth="1"/>
    <col min="15634" max="15635" width="9.140625" style="9"/>
    <col min="15636" max="15636" width="12.7109375" style="9" customWidth="1"/>
    <col min="15637" max="15637" width="35.42578125" style="9" customWidth="1"/>
    <col min="15638" max="15638" width="12" style="9" bestFit="1" customWidth="1"/>
    <col min="15639" max="15639" width="11" style="9" bestFit="1" customWidth="1"/>
    <col min="15640" max="15867" width="9.140625" style="9"/>
    <col min="15868" max="15868" width="20" style="9" customWidth="1"/>
    <col min="15869" max="15869" width="9.140625" style="9"/>
    <col min="15870" max="15870" width="9.28515625" style="9" bestFit="1" customWidth="1"/>
    <col min="15871" max="15871" width="9.140625" style="9"/>
    <col min="15872" max="15872" width="10.5703125" style="9" customWidth="1"/>
    <col min="15873" max="15886" width="9.140625" style="9"/>
    <col min="15887" max="15887" width="10.85546875" style="9" customWidth="1"/>
    <col min="15888" max="15888" width="9.140625" style="9"/>
    <col min="15889" max="15889" width="16.85546875" style="9" customWidth="1"/>
    <col min="15890" max="15891" width="9.140625" style="9"/>
    <col min="15892" max="15892" width="12.7109375" style="9" customWidth="1"/>
    <col min="15893" max="15893" width="35.42578125" style="9" customWidth="1"/>
    <col min="15894" max="15894" width="12" style="9" bestFit="1" customWidth="1"/>
    <col min="15895" max="15895" width="11" style="9" bestFit="1" customWidth="1"/>
    <col min="15896" max="16123" width="9.140625" style="9"/>
    <col min="16124" max="16124" width="20" style="9" customWidth="1"/>
    <col min="16125" max="16125" width="9.140625" style="9"/>
    <col min="16126" max="16126" width="9.28515625" style="9" bestFit="1" customWidth="1"/>
    <col min="16127" max="16127" width="9.140625" style="9"/>
    <col min="16128" max="16128" width="10.5703125" style="9" customWidth="1"/>
    <col min="16129" max="16142" width="9.140625" style="9"/>
    <col min="16143" max="16143" width="10.85546875" style="9" customWidth="1"/>
    <col min="16144" max="16144" width="9.140625" style="9"/>
    <col min="16145" max="16145" width="16.85546875" style="9" customWidth="1"/>
    <col min="16146" max="16147" width="9.140625" style="9"/>
    <col min="16148" max="16148" width="12.7109375" style="9" customWidth="1"/>
    <col min="16149" max="16149" width="35.42578125" style="9" customWidth="1"/>
    <col min="16150" max="16150" width="12" style="9" bestFit="1" customWidth="1"/>
    <col min="16151" max="16151" width="11" style="9" bestFit="1" customWidth="1"/>
    <col min="16152" max="16384" width="9.140625" style="9"/>
  </cols>
  <sheetData>
    <row r="1" spans="1:32" ht="92.25" customHeight="1" x14ac:dyDescent="0.2">
      <c r="A1" s="1" t="s">
        <v>0</v>
      </c>
      <c r="B1" s="4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4" t="s">
        <v>18</v>
      </c>
      <c r="T1" s="4" t="s">
        <v>19</v>
      </c>
      <c r="U1" s="4" t="s">
        <v>20</v>
      </c>
      <c r="V1" s="2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5" t="s">
        <v>416</v>
      </c>
      <c r="AB1" s="77" t="s">
        <v>460</v>
      </c>
      <c r="AC1" s="78" t="s">
        <v>425</v>
      </c>
      <c r="AD1" s="79" t="s">
        <v>456</v>
      </c>
    </row>
    <row r="2" spans="1:32" ht="35.1" customHeight="1" x14ac:dyDescent="0.2">
      <c r="A2" s="19" t="s">
        <v>26</v>
      </c>
      <c r="B2" s="20" t="s">
        <v>54</v>
      </c>
      <c r="C2" s="21">
        <v>10152</v>
      </c>
      <c r="D2" s="22" t="s">
        <v>126</v>
      </c>
      <c r="E2" s="23" t="s">
        <v>64</v>
      </c>
      <c r="F2" s="20" t="s">
        <v>65</v>
      </c>
      <c r="G2" s="21" t="s">
        <v>80</v>
      </c>
      <c r="H2" s="21"/>
      <c r="I2" s="21"/>
      <c r="J2" s="21"/>
      <c r="K2" s="21" t="s">
        <v>105</v>
      </c>
      <c r="L2" s="21" t="s">
        <v>102</v>
      </c>
      <c r="M2" s="21" t="s">
        <v>52</v>
      </c>
      <c r="N2" s="21" t="s">
        <v>36</v>
      </c>
      <c r="O2" s="21" t="s">
        <v>45</v>
      </c>
      <c r="P2" s="21" t="s">
        <v>35</v>
      </c>
      <c r="Q2" s="21" t="s">
        <v>36</v>
      </c>
      <c r="R2" s="21" t="s">
        <v>36</v>
      </c>
      <c r="S2" s="20" t="s">
        <v>127</v>
      </c>
      <c r="T2" s="20" t="s">
        <v>60</v>
      </c>
      <c r="U2" s="20" t="s">
        <v>128</v>
      </c>
      <c r="V2" s="17" t="s">
        <v>35</v>
      </c>
      <c r="W2" s="20" t="str">
        <f>HYPERLINK("https://www.stromypodkontrolou.cz/map/tree/d41bce85-5010-4276-b929-4760db78c679/83efc402-eb86-449f-a55a-407808235e9b")</f>
        <v>https://www.stromypodkontrolou.cz/map/tree/d41bce85-5010-4276-b929-4760db78c679/83efc402-eb86-449f-a55a-407808235e9b</v>
      </c>
      <c r="X2" s="20">
        <v>-762414.05714799999</v>
      </c>
      <c r="Y2" s="20">
        <v>-985086.57256</v>
      </c>
      <c r="Z2" s="20" t="str">
        <f>HYPERLINK("https://www.mapy.cz?st=search&amp;fr=50.57873922 14.03556123")</f>
        <v>https://www.mapy.cz?st=search&amp;fr=50.57873922 14.03556123</v>
      </c>
      <c r="AA2" s="18" t="s">
        <v>38</v>
      </c>
      <c r="AB2" s="17">
        <v>1</v>
      </c>
      <c r="AC2" s="80" t="s">
        <v>445</v>
      </c>
      <c r="AD2" s="110"/>
    </row>
    <row r="3" spans="1:32" ht="35.1" customHeight="1" x14ac:dyDescent="0.2">
      <c r="A3" s="19" t="s">
        <v>26</v>
      </c>
      <c r="B3" s="20" t="s">
        <v>54</v>
      </c>
      <c r="C3" s="21">
        <v>10154</v>
      </c>
      <c r="D3" s="22" t="s">
        <v>129</v>
      </c>
      <c r="E3" s="23" t="s">
        <v>130</v>
      </c>
      <c r="F3" s="20" t="s">
        <v>131</v>
      </c>
      <c r="G3" s="21" t="s">
        <v>56</v>
      </c>
      <c r="H3" s="21" t="s">
        <v>132</v>
      </c>
      <c r="I3" s="21"/>
      <c r="J3" s="21"/>
      <c r="K3" s="21" t="s">
        <v>86</v>
      </c>
      <c r="L3" s="21" t="s">
        <v>63</v>
      </c>
      <c r="M3" s="21" t="s">
        <v>107</v>
      </c>
      <c r="N3" s="21" t="s">
        <v>33</v>
      </c>
      <c r="O3" s="21" t="s">
        <v>34</v>
      </c>
      <c r="P3" s="21" t="s">
        <v>33</v>
      </c>
      <c r="Q3" s="21" t="s">
        <v>35</v>
      </c>
      <c r="R3" s="21" t="s">
        <v>36</v>
      </c>
      <c r="S3" s="20" t="s">
        <v>133</v>
      </c>
      <c r="T3" s="20" t="s">
        <v>60</v>
      </c>
      <c r="U3" s="20" t="s">
        <v>128</v>
      </c>
      <c r="V3" s="17" t="s">
        <v>46</v>
      </c>
      <c r="W3" s="20" t="str">
        <f>HYPERLINK("https://www.stromypodkontrolou.cz/map/tree/d41bce85-5010-4276-b929-4760db78c679/23a0d524-2676-4c9e-9f0c-78329f9ad5f0")</f>
        <v>https://www.stromypodkontrolou.cz/map/tree/d41bce85-5010-4276-b929-4760db78c679/23a0d524-2676-4c9e-9f0c-78329f9ad5f0</v>
      </c>
      <c r="X3" s="20">
        <v>-762388.451826</v>
      </c>
      <c r="Y3" s="20">
        <v>-985137.38190200005</v>
      </c>
      <c r="Z3" s="20" t="str">
        <f>HYPERLINK("https://www.mapy.cz?st=search&amp;fr=50.57831958 14.03602056")</f>
        <v>https://www.mapy.cz?st=search&amp;fr=50.57831958 14.03602056</v>
      </c>
      <c r="AA3" s="18" t="s">
        <v>38</v>
      </c>
      <c r="AB3" s="17">
        <v>3.3</v>
      </c>
      <c r="AC3" s="80" t="s">
        <v>446</v>
      </c>
      <c r="AD3" s="110"/>
    </row>
    <row r="4" spans="1:32" ht="35.1" customHeight="1" x14ac:dyDescent="0.2">
      <c r="A4" s="19" t="s">
        <v>26</v>
      </c>
      <c r="B4" s="20" t="s">
        <v>54</v>
      </c>
      <c r="C4" s="21">
        <v>10155</v>
      </c>
      <c r="D4" s="22" t="s">
        <v>134</v>
      </c>
      <c r="E4" s="23" t="s">
        <v>130</v>
      </c>
      <c r="F4" s="20" t="s">
        <v>131</v>
      </c>
      <c r="G4" s="21" t="s">
        <v>135</v>
      </c>
      <c r="H4" s="21" t="s">
        <v>125</v>
      </c>
      <c r="I4" s="21" t="s">
        <v>95</v>
      </c>
      <c r="J4" s="21"/>
      <c r="K4" s="21" t="s">
        <v>86</v>
      </c>
      <c r="L4" s="21" t="s">
        <v>63</v>
      </c>
      <c r="M4" s="21" t="s">
        <v>49</v>
      </c>
      <c r="N4" s="21" t="s">
        <v>33</v>
      </c>
      <c r="O4" s="21" t="s">
        <v>34</v>
      </c>
      <c r="P4" s="21" t="s">
        <v>97</v>
      </c>
      <c r="Q4" s="21" t="s">
        <v>36</v>
      </c>
      <c r="R4" s="21" t="s">
        <v>36</v>
      </c>
      <c r="S4" s="20" t="s">
        <v>98</v>
      </c>
      <c r="T4" s="20" t="s">
        <v>60</v>
      </c>
      <c r="U4" s="20" t="s">
        <v>128</v>
      </c>
      <c r="V4" s="17" t="s">
        <v>46</v>
      </c>
      <c r="W4" s="20" t="str">
        <f>HYPERLINK("https://www.stromypodkontrolou.cz/map/tree/d41bce85-5010-4276-b929-4760db78c679/04f7da81-73a7-4aeb-bd14-10fa6822abe9")</f>
        <v>https://www.stromypodkontrolou.cz/map/tree/d41bce85-5010-4276-b929-4760db78c679/04f7da81-73a7-4aeb-bd14-10fa6822abe9</v>
      </c>
      <c r="X4" s="20">
        <v>-762384.19588699995</v>
      </c>
      <c r="Y4" s="20">
        <v>-985148.89865400002</v>
      </c>
      <c r="Z4" s="20" t="str">
        <f>HYPERLINK("https://www.mapy.cz?st=search&amp;fr=50.57822250 14.03610304")</f>
        <v>https://www.mapy.cz?st=search&amp;fr=50.57822250 14.03610304</v>
      </c>
      <c r="AA4" s="18" t="s">
        <v>38</v>
      </c>
      <c r="AB4" s="17">
        <v>3.3</v>
      </c>
      <c r="AC4" s="80" t="s">
        <v>446</v>
      </c>
      <c r="AD4" s="110"/>
    </row>
    <row r="5" spans="1:32" ht="35.1" customHeight="1" thickBot="1" x14ac:dyDescent="0.25">
      <c r="A5" s="39" t="s">
        <v>26</v>
      </c>
      <c r="B5" s="40" t="s">
        <v>54</v>
      </c>
      <c r="C5" s="41">
        <v>10171</v>
      </c>
      <c r="D5" s="42" t="s">
        <v>137</v>
      </c>
      <c r="E5" s="43" t="s">
        <v>64</v>
      </c>
      <c r="F5" s="40" t="s">
        <v>65</v>
      </c>
      <c r="G5" s="41" t="s">
        <v>138</v>
      </c>
      <c r="H5" s="41"/>
      <c r="I5" s="41"/>
      <c r="J5" s="41"/>
      <c r="K5" s="41" t="s">
        <v>92</v>
      </c>
      <c r="L5" s="41" t="s">
        <v>116</v>
      </c>
      <c r="M5" s="41" t="s">
        <v>49</v>
      </c>
      <c r="N5" s="41" t="s">
        <v>97</v>
      </c>
      <c r="O5" s="41" t="s">
        <v>34</v>
      </c>
      <c r="P5" s="41" t="s">
        <v>35</v>
      </c>
      <c r="Q5" s="41" t="s">
        <v>33</v>
      </c>
      <c r="R5" s="41" t="s">
        <v>33</v>
      </c>
      <c r="S5" s="40" t="s">
        <v>139</v>
      </c>
      <c r="T5" s="40" t="s">
        <v>60</v>
      </c>
      <c r="U5" s="40" t="s">
        <v>128</v>
      </c>
      <c r="V5" s="44" t="s">
        <v>46</v>
      </c>
      <c r="W5" s="40" t="str">
        <f>HYPERLINK("https://www.stromypodkontrolou.cz/map/tree/d41bce85-5010-4276-b929-4760db78c679/4328f149-a9af-4c28-9733-c35ee22ac296")</f>
        <v>https://www.stromypodkontrolou.cz/map/tree/d41bce85-5010-4276-b929-4760db78c679/4328f149-a9af-4c28-9733-c35ee22ac296</v>
      </c>
      <c r="X5" s="40">
        <v>-762344.44894499995</v>
      </c>
      <c r="Y5" s="40">
        <v>-985397.13524600002</v>
      </c>
      <c r="Z5" s="40" t="str">
        <f>HYPERLINK("https://www.mapy.cz?st=search&amp;fr=50.57606377 14.03715413")</f>
        <v>https://www.mapy.cz?st=search&amp;fr=50.57606377 14.03715413</v>
      </c>
      <c r="AA5" s="45" t="s">
        <v>69</v>
      </c>
      <c r="AB5" s="44">
        <v>3</v>
      </c>
      <c r="AC5" s="81" t="s">
        <v>427</v>
      </c>
      <c r="AD5" s="111"/>
    </row>
    <row r="6" spans="1:32" ht="35.1" customHeight="1" thickTop="1" x14ac:dyDescent="0.2">
      <c r="A6" s="24" t="s">
        <v>140</v>
      </c>
      <c r="B6" s="25" t="s">
        <v>145</v>
      </c>
      <c r="C6" s="26">
        <v>15243</v>
      </c>
      <c r="D6" s="27" t="s">
        <v>147</v>
      </c>
      <c r="E6" s="28" t="s">
        <v>27</v>
      </c>
      <c r="F6" s="25" t="s">
        <v>28</v>
      </c>
      <c r="G6" s="26" t="s">
        <v>85</v>
      </c>
      <c r="H6" s="26"/>
      <c r="I6" s="26"/>
      <c r="J6" s="26"/>
      <c r="K6" s="26" t="s">
        <v>62</v>
      </c>
      <c r="L6" s="26" t="s">
        <v>63</v>
      </c>
      <c r="M6" s="26" t="s">
        <v>33</v>
      </c>
      <c r="N6" s="26" t="s">
        <v>36</v>
      </c>
      <c r="O6" s="26" t="s">
        <v>45</v>
      </c>
      <c r="P6" s="26" t="s">
        <v>35</v>
      </c>
      <c r="Q6" s="26" t="s">
        <v>35</v>
      </c>
      <c r="R6" s="26" t="s">
        <v>36</v>
      </c>
      <c r="S6" s="25" t="s">
        <v>148</v>
      </c>
      <c r="T6" s="25" t="s">
        <v>143</v>
      </c>
      <c r="U6" s="25" t="s">
        <v>146</v>
      </c>
      <c r="V6" s="29" t="s">
        <v>35</v>
      </c>
      <c r="W6" s="25" t="str">
        <f>HYPERLINK("https://www.stromypodkontrolou.cz/map/tree/d41bce85-5010-4276-b929-4760db78c679/71f21608-73db-40fe-bb6e-b5c5983f8261")</f>
        <v>https://www.stromypodkontrolou.cz/map/tree/d41bce85-5010-4276-b929-4760db78c679/71f21608-73db-40fe-bb6e-b5c5983f8261</v>
      </c>
      <c r="X6" s="25">
        <v>-762445.87296199996</v>
      </c>
      <c r="Y6" s="25">
        <v>-986346.12770900002</v>
      </c>
      <c r="Z6" s="25" t="str">
        <f>HYPERLINK("https://www.mapy.cz?st=search&amp;fr=50.56748899 14.03763089")</f>
        <v>https://www.mapy.cz?st=search&amp;fr=50.56748899 14.03763089</v>
      </c>
      <c r="AA6" s="30" t="s">
        <v>38</v>
      </c>
      <c r="AB6" s="56">
        <v>0.1</v>
      </c>
      <c r="AC6" s="82" t="s">
        <v>447</v>
      </c>
      <c r="AD6" s="112"/>
      <c r="AF6" s="76"/>
    </row>
    <row r="7" spans="1:32" ht="35.1" customHeight="1" x14ac:dyDescent="0.2">
      <c r="A7" s="12" t="s">
        <v>140</v>
      </c>
      <c r="B7" s="13" t="s">
        <v>145</v>
      </c>
      <c r="C7" s="14">
        <v>15258</v>
      </c>
      <c r="D7" s="15" t="s">
        <v>151</v>
      </c>
      <c r="E7" s="16" t="s">
        <v>141</v>
      </c>
      <c r="F7" s="13" t="s">
        <v>142</v>
      </c>
      <c r="G7" s="14" t="s">
        <v>79</v>
      </c>
      <c r="H7" s="14" t="s">
        <v>125</v>
      </c>
      <c r="I7" s="14" t="s">
        <v>110</v>
      </c>
      <c r="J7" s="14" t="s">
        <v>90</v>
      </c>
      <c r="K7" s="14" t="s">
        <v>102</v>
      </c>
      <c r="L7" s="14" t="s">
        <v>82</v>
      </c>
      <c r="M7" s="14" t="s">
        <v>49</v>
      </c>
      <c r="N7" s="14" t="s">
        <v>33</v>
      </c>
      <c r="O7" s="14" t="s">
        <v>34</v>
      </c>
      <c r="P7" s="14" t="s">
        <v>35</v>
      </c>
      <c r="Q7" s="14" t="s">
        <v>33</v>
      </c>
      <c r="R7" s="14" t="s">
        <v>33</v>
      </c>
      <c r="S7" s="13" t="s">
        <v>152</v>
      </c>
      <c r="T7" s="13" t="s">
        <v>143</v>
      </c>
      <c r="U7" s="13" t="s">
        <v>146</v>
      </c>
      <c r="V7" s="17" t="s">
        <v>46</v>
      </c>
      <c r="W7" s="13" t="str">
        <f>HYPERLINK("https://www.stromypodkontrolou.cz/map/tree/d41bce85-5010-4276-b929-4760db78c679/1284ca12-6af7-4728-aaa6-f7e13bab5f5e")</f>
        <v>https://www.stromypodkontrolou.cz/map/tree/d41bce85-5010-4276-b929-4760db78c679/1284ca12-6af7-4728-aaa6-f7e13bab5f5e</v>
      </c>
      <c r="X7" s="13">
        <v>-762334.201397</v>
      </c>
      <c r="Y7" s="13">
        <v>-986149.66978899995</v>
      </c>
      <c r="Z7" s="13" t="str">
        <f>HYPERLINK("https://www.mapy.cz?st=search&amp;fr=50.56937937 14.03879933")</f>
        <v>https://www.mapy.cz?st=search&amp;fr=50.56937937 14.03879933</v>
      </c>
      <c r="AA7" s="18" t="s">
        <v>38</v>
      </c>
      <c r="AB7" s="17">
        <v>1</v>
      </c>
      <c r="AC7" s="80" t="s">
        <v>448</v>
      </c>
      <c r="AD7" s="110"/>
    </row>
    <row r="8" spans="1:32" ht="35.1" customHeight="1" x14ac:dyDescent="0.2">
      <c r="A8" s="12" t="s">
        <v>140</v>
      </c>
      <c r="B8" s="13" t="s">
        <v>145</v>
      </c>
      <c r="C8" s="14">
        <v>15263</v>
      </c>
      <c r="D8" s="15" t="s">
        <v>153</v>
      </c>
      <c r="E8" s="16" t="s">
        <v>99</v>
      </c>
      <c r="F8" s="13" t="s">
        <v>100</v>
      </c>
      <c r="G8" s="14" t="s">
        <v>104</v>
      </c>
      <c r="H8" s="14" t="s">
        <v>120</v>
      </c>
      <c r="I8" s="14"/>
      <c r="J8" s="14"/>
      <c r="K8" s="14" t="s">
        <v>31</v>
      </c>
      <c r="L8" s="14" t="s">
        <v>43</v>
      </c>
      <c r="M8" s="14" t="s">
        <v>36</v>
      </c>
      <c r="N8" s="14" t="s">
        <v>33</v>
      </c>
      <c r="O8" s="14" t="s">
        <v>34</v>
      </c>
      <c r="P8" s="14" t="s">
        <v>33</v>
      </c>
      <c r="Q8" s="14" t="s">
        <v>33</v>
      </c>
      <c r="R8" s="14" t="s">
        <v>33</v>
      </c>
      <c r="S8" s="13" t="s">
        <v>154</v>
      </c>
      <c r="T8" s="13" t="s">
        <v>143</v>
      </c>
      <c r="U8" s="13" t="s">
        <v>146</v>
      </c>
      <c r="V8" s="17" t="s">
        <v>46</v>
      </c>
      <c r="W8" s="13" t="str">
        <f>HYPERLINK("https://www.stromypodkontrolou.cz/map/tree/d41bce85-5010-4276-b929-4760db78c679/f3ea9349-4f83-403e-962a-015588883d9b")</f>
        <v>https://www.stromypodkontrolou.cz/map/tree/d41bce85-5010-4276-b929-4760db78c679/f3ea9349-4f83-403e-962a-015588883d9b</v>
      </c>
      <c r="X8" s="13">
        <v>-762321.55777499999</v>
      </c>
      <c r="Y8" s="13">
        <v>-986129.34274999995</v>
      </c>
      <c r="Z8" s="13" t="str">
        <f>HYPERLINK("https://www.mapy.cz?st=search&amp;fr=50.56957634 14.03893545")</f>
        <v>https://www.mapy.cz?st=search&amp;fr=50.56957634 14.03893545</v>
      </c>
      <c r="AA8" s="18" t="s">
        <v>38</v>
      </c>
      <c r="AB8" s="17">
        <v>0.1</v>
      </c>
      <c r="AC8" s="80" t="s">
        <v>445</v>
      </c>
      <c r="AD8" s="110"/>
    </row>
    <row r="9" spans="1:32" ht="35.1" customHeight="1" x14ac:dyDescent="0.2">
      <c r="A9" s="12" t="s">
        <v>140</v>
      </c>
      <c r="B9" s="13" t="s">
        <v>145</v>
      </c>
      <c r="C9" s="14">
        <v>15266</v>
      </c>
      <c r="D9" s="15" t="s">
        <v>156</v>
      </c>
      <c r="E9" s="16" t="s">
        <v>141</v>
      </c>
      <c r="F9" s="13" t="s">
        <v>142</v>
      </c>
      <c r="G9" s="14" t="s">
        <v>157</v>
      </c>
      <c r="H9" s="14" t="s">
        <v>125</v>
      </c>
      <c r="I9" s="14" t="s">
        <v>135</v>
      </c>
      <c r="J9" s="14" t="s">
        <v>87</v>
      </c>
      <c r="K9" s="14" t="s">
        <v>42</v>
      </c>
      <c r="L9" s="14" t="s">
        <v>43</v>
      </c>
      <c r="M9" s="14" t="s">
        <v>51</v>
      </c>
      <c r="N9" s="14" t="s">
        <v>33</v>
      </c>
      <c r="O9" s="14" t="s">
        <v>45</v>
      </c>
      <c r="P9" s="14" t="s">
        <v>35</v>
      </c>
      <c r="Q9" s="14" t="s">
        <v>36</v>
      </c>
      <c r="R9" s="14" t="s">
        <v>36</v>
      </c>
      <c r="S9" s="13" t="s">
        <v>158</v>
      </c>
      <c r="T9" s="13" t="s">
        <v>143</v>
      </c>
      <c r="U9" s="13" t="s">
        <v>150</v>
      </c>
      <c r="V9" s="17" t="s">
        <v>35</v>
      </c>
      <c r="W9" s="13" t="str">
        <f>HYPERLINK("https://www.stromypodkontrolou.cz/map/tree/d41bce85-5010-4276-b929-4760db78c679/f56820ed-696e-43e1-8c98-641709e94719")</f>
        <v>https://www.stromypodkontrolou.cz/map/tree/d41bce85-5010-4276-b929-4760db78c679/f56820ed-696e-43e1-8c98-641709e94719</v>
      </c>
      <c r="X9" s="13">
        <v>-762304.85218000005</v>
      </c>
      <c r="Y9" s="13">
        <v>-986104.42761400004</v>
      </c>
      <c r="Z9" s="13" t="str">
        <f>HYPERLINK("https://www.mapy.cz?st=search&amp;fr=50.56981932 14.03911918")</f>
        <v>https://www.mapy.cz?st=search&amp;fr=50.56981932 14.03911918</v>
      </c>
      <c r="AA9" s="18" t="s">
        <v>38</v>
      </c>
      <c r="AB9" s="17">
        <v>1.1000000000000001</v>
      </c>
      <c r="AC9" s="83" t="s">
        <v>449</v>
      </c>
      <c r="AD9" s="110"/>
    </row>
    <row r="10" spans="1:32" ht="35.1" customHeight="1" x14ac:dyDescent="0.2">
      <c r="A10" s="19" t="s">
        <v>140</v>
      </c>
      <c r="B10" s="20" t="s">
        <v>159</v>
      </c>
      <c r="C10" s="21">
        <v>15156</v>
      </c>
      <c r="D10" s="22" t="s">
        <v>162</v>
      </c>
      <c r="E10" s="23" t="s">
        <v>27</v>
      </c>
      <c r="F10" s="20" t="s">
        <v>28</v>
      </c>
      <c r="G10" s="21" t="s">
        <v>104</v>
      </c>
      <c r="H10" s="21"/>
      <c r="I10" s="21"/>
      <c r="J10" s="21"/>
      <c r="K10" s="21" t="s">
        <v>77</v>
      </c>
      <c r="L10" s="21" t="s">
        <v>63</v>
      </c>
      <c r="M10" s="21" t="s">
        <v>44</v>
      </c>
      <c r="N10" s="21" t="s">
        <v>36</v>
      </c>
      <c r="O10" s="21" t="s">
        <v>45</v>
      </c>
      <c r="P10" s="21" t="s">
        <v>46</v>
      </c>
      <c r="Q10" s="21" t="s">
        <v>35</v>
      </c>
      <c r="R10" s="21" t="s">
        <v>36</v>
      </c>
      <c r="S10" s="20" t="s">
        <v>117</v>
      </c>
      <c r="T10" s="20" t="s">
        <v>143</v>
      </c>
      <c r="U10" s="20" t="s">
        <v>160</v>
      </c>
      <c r="V10" s="17" t="s">
        <v>35</v>
      </c>
      <c r="W10" s="20" t="str">
        <f>HYPERLINK("https://www.stromypodkontrolou.cz/map/tree/d41bce85-5010-4276-b929-4760db78c679/6bb5f204-3c8a-4793-b4e6-870ffa1e4131")</f>
        <v>https://www.stromypodkontrolou.cz/map/tree/d41bce85-5010-4276-b929-4760db78c679/6bb5f204-3c8a-4793-b4e6-870ffa1e4131</v>
      </c>
      <c r="X10" s="20">
        <v>-762539.76513499999</v>
      </c>
      <c r="Y10" s="20">
        <v>-987732.14818200003</v>
      </c>
      <c r="Z10" s="20" t="str">
        <f>HYPERLINK("https://www.mapy.cz?st=search&amp;fr=50.55503426 14.03908465")</f>
        <v>https://www.mapy.cz?st=search&amp;fr=50.55503426 14.03908465</v>
      </c>
      <c r="AA10" s="18" t="s">
        <v>38</v>
      </c>
      <c r="AB10" s="56">
        <v>0.3</v>
      </c>
      <c r="AC10" s="82" t="s">
        <v>447</v>
      </c>
      <c r="AD10" s="113"/>
    </row>
    <row r="11" spans="1:32" ht="35.1" customHeight="1" x14ac:dyDescent="0.2">
      <c r="A11" s="19" t="s">
        <v>140</v>
      </c>
      <c r="B11" s="20" t="s">
        <v>159</v>
      </c>
      <c r="C11" s="21">
        <v>15167</v>
      </c>
      <c r="D11" s="22" t="s">
        <v>166</v>
      </c>
      <c r="E11" s="23" t="s">
        <v>141</v>
      </c>
      <c r="F11" s="20" t="s">
        <v>142</v>
      </c>
      <c r="G11" s="21" t="s">
        <v>89</v>
      </c>
      <c r="H11" s="21"/>
      <c r="I11" s="21"/>
      <c r="J11" s="21"/>
      <c r="K11" s="21" t="s">
        <v>42</v>
      </c>
      <c r="L11" s="21" t="s">
        <v>106</v>
      </c>
      <c r="M11" s="21" t="s">
        <v>44</v>
      </c>
      <c r="N11" s="21" t="s">
        <v>36</v>
      </c>
      <c r="O11" s="21" t="s">
        <v>45</v>
      </c>
      <c r="P11" s="21" t="s">
        <v>35</v>
      </c>
      <c r="Q11" s="21" t="s">
        <v>35</v>
      </c>
      <c r="R11" s="21" t="s">
        <v>35</v>
      </c>
      <c r="S11" s="20" t="s">
        <v>47</v>
      </c>
      <c r="T11" s="20" t="s">
        <v>143</v>
      </c>
      <c r="U11" s="20" t="s">
        <v>160</v>
      </c>
      <c r="V11" s="17" t="s">
        <v>36</v>
      </c>
      <c r="W11" s="20" t="str">
        <f>HYPERLINK("https://www.stromypodkontrolou.cz/map/tree/d41bce85-5010-4276-b929-4760db78c679/5f397c52-ed28-4902-b91e-c260d91a2cc5")</f>
        <v>https://www.stromypodkontrolou.cz/map/tree/d41bce85-5010-4276-b929-4760db78c679/5f397c52-ed28-4902-b91e-c260d91a2cc5</v>
      </c>
      <c r="X11" s="20">
        <v>-762495.04703599995</v>
      </c>
      <c r="Y11" s="20">
        <v>-987904.88001700002</v>
      </c>
      <c r="Z11" s="20" t="str">
        <f>HYPERLINK("https://www.mapy.cz?st=search&amp;fr=50.55355379 14.04005393")</f>
        <v>https://www.mapy.cz?st=search&amp;fr=50.55355379 14.04005393</v>
      </c>
      <c r="AA11" s="18" t="s">
        <v>48</v>
      </c>
      <c r="AB11" s="56">
        <v>0.1</v>
      </c>
      <c r="AC11" s="82" t="s">
        <v>428</v>
      </c>
      <c r="AD11" s="113"/>
    </row>
    <row r="12" spans="1:32" ht="35.1" customHeight="1" x14ac:dyDescent="0.2">
      <c r="A12" s="19" t="s">
        <v>140</v>
      </c>
      <c r="B12" s="20" t="s">
        <v>159</v>
      </c>
      <c r="C12" s="21">
        <v>15173</v>
      </c>
      <c r="D12" s="22" t="s">
        <v>168</v>
      </c>
      <c r="E12" s="23" t="s">
        <v>141</v>
      </c>
      <c r="F12" s="20" t="s">
        <v>142</v>
      </c>
      <c r="G12" s="21" t="s">
        <v>101</v>
      </c>
      <c r="H12" s="21"/>
      <c r="I12" s="21"/>
      <c r="J12" s="21"/>
      <c r="K12" s="21" t="s">
        <v>53</v>
      </c>
      <c r="L12" s="21" t="s">
        <v>43</v>
      </c>
      <c r="M12" s="21" t="s">
        <v>32</v>
      </c>
      <c r="N12" s="21" t="s">
        <v>36</v>
      </c>
      <c r="O12" s="21" t="s">
        <v>45</v>
      </c>
      <c r="P12" s="21" t="s">
        <v>35</v>
      </c>
      <c r="Q12" s="21" t="s">
        <v>35</v>
      </c>
      <c r="R12" s="21" t="s">
        <v>36</v>
      </c>
      <c r="S12" s="20" t="s">
        <v>169</v>
      </c>
      <c r="T12" s="20" t="s">
        <v>143</v>
      </c>
      <c r="U12" s="20" t="s">
        <v>160</v>
      </c>
      <c r="V12" s="17" t="s">
        <v>36</v>
      </c>
      <c r="W12" s="20" t="str">
        <f>HYPERLINK("https://www.stromypodkontrolou.cz/map/tree/d41bce85-5010-4276-b929-4760db78c679/88d96258-9d85-4ba6-90c2-1699209438cd")</f>
        <v>https://www.stromypodkontrolou.cz/map/tree/d41bce85-5010-4276-b929-4760db78c679/88d96258-9d85-4ba6-90c2-1699209438cd</v>
      </c>
      <c r="X12" s="20">
        <v>-762484.49384799995</v>
      </c>
      <c r="Y12" s="20">
        <v>-987949.30261799996</v>
      </c>
      <c r="Z12" s="20" t="str">
        <f>HYPERLINK("https://www.mapy.cz?st=search&amp;fr=50.55317184 14.04028997")</f>
        <v>https://www.mapy.cz?st=search&amp;fr=50.55317184 14.04028997</v>
      </c>
      <c r="AA12" s="18" t="s">
        <v>38</v>
      </c>
      <c r="AB12" s="17">
        <v>0.1</v>
      </c>
      <c r="AC12" s="80" t="s">
        <v>445</v>
      </c>
      <c r="AD12" s="110"/>
    </row>
    <row r="13" spans="1:32" ht="35.1" customHeight="1" thickBot="1" x14ac:dyDescent="0.25">
      <c r="A13" s="19" t="s">
        <v>140</v>
      </c>
      <c r="B13" s="20" t="s">
        <v>159</v>
      </c>
      <c r="C13" s="21">
        <v>15188</v>
      </c>
      <c r="D13" s="22" t="s">
        <v>173</v>
      </c>
      <c r="E13" s="23" t="s">
        <v>130</v>
      </c>
      <c r="F13" s="20" t="s">
        <v>131</v>
      </c>
      <c r="G13" s="21" t="s">
        <v>74</v>
      </c>
      <c r="H13" s="21" t="s">
        <v>93</v>
      </c>
      <c r="I13" s="21" t="s">
        <v>91</v>
      </c>
      <c r="J13" s="21"/>
      <c r="K13" s="21" t="s">
        <v>62</v>
      </c>
      <c r="L13" s="21" t="s">
        <v>43</v>
      </c>
      <c r="M13" s="21" t="s">
        <v>33</v>
      </c>
      <c r="N13" s="21" t="s">
        <v>36</v>
      </c>
      <c r="O13" s="21" t="s">
        <v>34</v>
      </c>
      <c r="P13" s="21" t="s">
        <v>33</v>
      </c>
      <c r="Q13" s="21" t="s">
        <v>36</v>
      </c>
      <c r="R13" s="21" t="s">
        <v>36</v>
      </c>
      <c r="S13" s="20" t="s">
        <v>154</v>
      </c>
      <c r="T13" s="20" t="s">
        <v>143</v>
      </c>
      <c r="U13" s="20" t="s">
        <v>172</v>
      </c>
      <c r="V13" s="17" t="s">
        <v>46</v>
      </c>
      <c r="W13" s="20" t="str">
        <f>HYPERLINK("https://www.stromypodkontrolou.cz/map/tree/d41bce85-5010-4276-b929-4760db78c679/36cb05c7-24a8-45bd-a4f0-8223b2a884e5")</f>
        <v>https://www.stromypodkontrolou.cz/map/tree/d41bce85-5010-4276-b929-4760db78c679/36cb05c7-24a8-45bd-a4f0-8223b2a884e5</v>
      </c>
      <c r="X13" s="20">
        <v>-762474.80469000002</v>
      </c>
      <c r="Y13" s="20">
        <v>-988073.40343099996</v>
      </c>
      <c r="Z13" s="20" t="str">
        <f>HYPERLINK("https://www.mapy.cz?st=search&amp;fr=50.55207967 14.04067285")</f>
        <v>https://www.mapy.cz?st=search&amp;fr=50.55207967 14.04067285</v>
      </c>
      <c r="AA13" s="18" t="s">
        <v>48</v>
      </c>
      <c r="AB13" s="84">
        <v>0.5</v>
      </c>
      <c r="AC13" s="85" t="s">
        <v>426</v>
      </c>
      <c r="AD13" s="111"/>
    </row>
    <row r="14" spans="1:32" ht="35.1" customHeight="1" thickTop="1" thickBot="1" x14ac:dyDescent="0.25">
      <c r="A14" s="24" t="s">
        <v>140</v>
      </c>
      <c r="B14" s="25" t="s">
        <v>174</v>
      </c>
      <c r="C14" s="26">
        <v>15111</v>
      </c>
      <c r="D14" s="27" t="s">
        <v>178</v>
      </c>
      <c r="E14" s="28" t="s">
        <v>130</v>
      </c>
      <c r="F14" s="25" t="s">
        <v>131</v>
      </c>
      <c r="G14" s="26" t="s">
        <v>74</v>
      </c>
      <c r="H14" s="26"/>
      <c r="I14" s="26"/>
      <c r="J14" s="26"/>
      <c r="K14" s="26" t="s">
        <v>78</v>
      </c>
      <c r="L14" s="26" t="s">
        <v>43</v>
      </c>
      <c r="M14" s="26" t="s">
        <v>97</v>
      </c>
      <c r="N14" s="26" t="s">
        <v>36</v>
      </c>
      <c r="O14" s="26" t="s">
        <v>34</v>
      </c>
      <c r="P14" s="26" t="s">
        <v>97</v>
      </c>
      <c r="Q14" s="26" t="s">
        <v>35</v>
      </c>
      <c r="R14" s="26" t="s">
        <v>36</v>
      </c>
      <c r="S14" s="25" t="s">
        <v>98</v>
      </c>
      <c r="T14" s="25" t="s">
        <v>143</v>
      </c>
      <c r="U14" s="25" t="s">
        <v>175</v>
      </c>
      <c r="V14" s="29" t="s">
        <v>46</v>
      </c>
      <c r="W14" s="25" t="str">
        <f>HYPERLINK("https://www.stromypodkontrolou.cz/map/tree/d41bce85-5010-4276-b929-4760db78c679/c0179efe-19b1-466f-8f2e-4d06f251a566")</f>
        <v>https://www.stromypodkontrolou.cz/map/tree/d41bce85-5010-4276-b929-4760db78c679/c0179efe-19b1-466f-8f2e-4d06f251a566</v>
      </c>
      <c r="X14" s="25">
        <v>-761903.34738599998</v>
      </c>
      <c r="Y14" s="25">
        <v>-988870.51283100003</v>
      </c>
      <c r="Z14" s="25" t="str">
        <f>HYPERLINK("https://www.mapy.cz?st=search&amp;fr=50.54571124 14.05024432")</f>
        <v>https://www.mapy.cz?st=search&amp;fr=50.54571124 14.05024432</v>
      </c>
      <c r="AA14" s="30" t="s">
        <v>38</v>
      </c>
      <c r="AB14" s="37">
        <v>0.2</v>
      </c>
      <c r="AC14" s="86" t="s">
        <v>447</v>
      </c>
      <c r="AD14" s="114"/>
    </row>
    <row r="15" spans="1:32" ht="35.1" customHeight="1" thickTop="1" x14ac:dyDescent="0.2">
      <c r="A15" s="24" t="s">
        <v>140</v>
      </c>
      <c r="B15" s="25" t="s">
        <v>183</v>
      </c>
      <c r="C15" s="26">
        <v>15293</v>
      </c>
      <c r="D15" s="27" t="s">
        <v>187</v>
      </c>
      <c r="E15" s="28" t="s">
        <v>27</v>
      </c>
      <c r="F15" s="25" t="s">
        <v>28</v>
      </c>
      <c r="G15" s="26" t="s">
        <v>74</v>
      </c>
      <c r="H15" s="26"/>
      <c r="I15" s="26"/>
      <c r="J15" s="26"/>
      <c r="K15" s="26" t="s">
        <v>81</v>
      </c>
      <c r="L15" s="26" t="s">
        <v>63</v>
      </c>
      <c r="M15" s="26" t="s">
        <v>33</v>
      </c>
      <c r="N15" s="26" t="s">
        <v>33</v>
      </c>
      <c r="O15" s="26" t="s">
        <v>34</v>
      </c>
      <c r="P15" s="26" t="s">
        <v>36</v>
      </c>
      <c r="Q15" s="26" t="s">
        <v>36</v>
      </c>
      <c r="R15" s="26" t="s">
        <v>36</v>
      </c>
      <c r="S15" s="25" t="s">
        <v>188</v>
      </c>
      <c r="T15" s="25" t="s">
        <v>184</v>
      </c>
      <c r="U15" s="25" t="s">
        <v>186</v>
      </c>
      <c r="V15" s="29" t="s">
        <v>46</v>
      </c>
      <c r="W15" s="25" t="str">
        <f>HYPERLINK("https://www.stromypodkontrolou.cz/map/tree/d41bce85-5010-4276-b929-4760db78c679/e06328e6-bc3d-477f-b21b-a240694f5837")</f>
        <v>https://www.stromypodkontrolou.cz/map/tree/d41bce85-5010-4276-b929-4760db78c679/e06328e6-bc3d-477f-b21b-a240694f5837</v>
      </c>
      <c r="X15" s="25">
        <v>-761703.83031700004</v>
      </c>
      <c r="Y15" s="25">
        <v>-988906.36715900002</v>
      </c>
      <c r="Z15" s="25" t="str">
        <f>HYPERLINK("https://www.mapy.cz?st=search&amp;fr=50.54564540 14.05310255")</f>
        <v>https://www.mapy.cz?st=search&amp;fr=50.54564540 14.05310255</v>
      </c>
      <c r="AA15" s="30" t="s">
        <v>48</v>
      </c>
      <c r="AB15" s="56">
        <v>0.1</v>
      </c>
      <c r="AC15" s="82" t="s">
        <v>428</v>
      </c>
      <c r="AD15" s="112"/>
    </row>
    <row r="16" spans="1:32" ht="35.1" customHeight="1" x14ac:dyDescent="0.2">
      <c r="A16" s="12" t="s">
        <v>140</v>
      </c>
      <c r="B16" s="13" t="s">
        <v>183</v>
      </c>
      <c r="C16" s="14">
        <v>15323</v>
      </c>
      <c r="D16" s="15" t="s">
        <v>190</v>
      </c>
      <c r="E16" s="16" t="s">
        <v>27</v>
      </c>
      <c r="F16" s="13" t="s">
        <v>28</v>
      </c>
      <c r="G16" s="14" t="s">
        <v>121</v>
      </c>
      <c r="H16" s="14"/>
      <c r="I16" s="14"/>
      <c r="J16" s="14"/>
      <c r="K16" s="14" t="s">
        <v>81</v>
      </c>
      <c r="L16" s="14" t="s">
        <v>63</v>
      </c>
      <c r="M16" s="14" t="s">
        <v>52</v>
      </c>
      <c r="N16" s="14" t="s">
        <v>36</v>
      </c>
      <c r="O16" s="14" t="s">
        <v>45</v>
      </c>
      <c r="P16" s="14" t="s">
        <v>36</v>
      </c>
      <c r="Q16" s="14" t="s">
        <v>35</v>
      </c>
      <c r="R16" s="14" t="s">
        <v>35</v>
      </c>
      <c r="S16" s="13" t="s">
        <v>191</v>
      </c>
      <c r="T16" s="13" t="s">
        <v>184</v>
      </c>
      <c r="U16" s="13" t="s">
        <v>186</v>
      </c>
      <c r="V16" s="17" t="s">
        <v>46</v>
      </c>
      <c r="W16" s="13" t="str">
        <f>HYPERLINK("https://www.stromypodkontrolou.cz/map/tree/d41bce85-5010-4276-b929-4760db78c679/327cca97-92ef-41d6-a5da-9e93e3a65f36")</f>
        <v>https://www.stromypodkontrolou.cz/map/tree/d41bce85-5010-4276-b929-4760db78c679/327cca97-92ef-41d6-a5da-9e93e3a65f36</v>
      </c>
      <c r="X16" s="13">
        <v>-761560.69101800001</v>
      </c>
      <c r="Y16" s="13">
        <v>-988966.08539000002</v>
      </c>
      <c r="Z16" s="13" t="str">
        <f>HYPERLINK("https://www.mapy.cz?st=search&amp;fr=50.54529556 14.05522082")</f>
        <v>https://www.mapy.cz?st=search&amp;fr=50.54529556 14.05522082</v>
      </c>
      <c r="AA16" s="18" t="s">
        <v>69</v>
      </c>
      <c r="AB16" s="17">
        <v>0.2</v>
      </c>
      <c r="AC16" s="80" t="s">
        <v>429</v>
      </c>
      <c r="AD16" s="110"/>
    </row>
    <row r="17" spans="1:30" ht="35.1" customHeight="1" x14ac:dyDescent="0.2">
      <c r="A17" s="12" t="s">
        <v>140</v>
      </c>
      <c r="B17" s="13" t="s">
        <v>183</v>
      </c>
      <c r="C17" s="14">
        <v>15354</v>
      </c>
      <c r="D17" s="15" t="s">
        <v>193</v>
      </c>
      <c r="E17" s="16" t="s">
        <v>27</v>
      </c>
      <c r="F17" s="13" t="s">
        <v>28</v>
      </c>
      <c r="G17" s="14" t="s">
        <v>67</v>
      </c>
      <c r="H17" s="14"/>
      <c r="I17" s="14"/>
      <c r="J17" s="14"/>
      <c r="K17" s="14" t="s">
        <v>58</v>
      </c>
      <c r="L17" s="14" t="s">
        <v>78</v>
      </c>
      <c r="M17" s="14" t="s">
        <v>50</v>
      </c>
      <c r="N17" s="14" t="s">
        <v>36</v>
      </c>
      <c r="O17" s="14" t="s">
        <v>34</v>
      </c>
      <c r="P17" s="14" t="s">
        <v>35</v>
      </c>
      <c r="Q17" s="14" t="s">
        <v>35</v>
      </c>
      <c r="R17" s="14" t="s">
        <v>35</v>
      </c>
      <c r="S17" s="13" t="s">
        <v>194</v>
      </c>
      <c r="T17" s="13" t="s">
        <v>184</v>
      </c>
      <c r="U17" s="13" t="s">
        <v>186</v>
      </c>
      <c r="V17" s="17" t="s">
        <v>46</v>
      </c>
      <c r="W17" s="13" t="str">
        <f>HYPERLINK("https://www.stromypodkontrolou.cz/map/tree/d41bce85-5010-4276-b929-4760db78c679/691d93a7-f85f-4b3a-97b5-edc67982fb6c")</f>
        <v>https://www.stromypodkontrolou.cz/map/tree/d41bce85-5010-4276-b929-4760db78c679/691d93a7-f85f-4b3a-97b5-edc67982fb6c</v>
      </c>
      <c r="X17" s="13">
        <v>-761478.16177600005</v>
      </c>
      <c r="Y17" s="13">
        <v>-989001.07232499996</v>
      </c>
      <c r="Z17" s="13" t="str">
        <f>HYPERLINK("https://www.mapy.cz?st=search&amp;fr=50.54508890 14.05644324")</f>
        <v>https://www.mapy.cz?st=search&amp;fr=50.54508890 14.05644324</v>
      </c>
      <c r="AA17" s="18" t="s">
        <v>69</v>
      </c>
      <c r="AB17" s="17">
        <v>0.7</v>
      </c>
      <c r="AC17" s="80" t="s">
        <v>429</v>
      </c>
      <c r="AD17" s="110"/>
    </row>
    <row r="18" spans="1:30" ht="35.1" customHeight="1" x14ac:dyDescent="0.2">
      <c r="A18" s="12" t="s">
        <v>140</v>
      </c>
      <c r="B18" s="13" t="s">
        <v>183</v>
      </c>
      <c r="C18" s="14">
        <v>15370</v>
      </c>
      <c r="D18" s="15" t="s">
        <v>195</v>
      </c>
      <c r="E18" s="16" t="s">
        <v>27</v>
      </c>
      <c r="F18" s="13" t="s">
        <v>28</v>
      </c>
      <c r="G18" s="14" t="s">
        <v>124</v>
      </c>
      <c r="H18" s="14"/>
      <c r="I18" s="14"/>
      <c r="J18" s="14"/>
      <c r="K18" s="14" t="s">
        <v>75</v>
      </c>
      <c r="L18" s="14" t="s">
        <v>78</v>
      </c>
      <c r="M18" s="14" t="s">
        <v>52</v>
      </c>
      <c r="N18" s="14" t="s">
        <v>36</v>
      </c>
      <c r="O18" s="14" t="s">
        <v>45</v>
      </c>
      <c r="P18" s="14" t="s">
        <v>36</v>
      </c>
      <c r="Q18" s="14" t="s">
        <v>36</v>
      </c>
      <c r="R18" s="14" t="s">
        <v>36</v>
      </c>
      <c r="S18" s="13" t="s">
        <v>196</v>
      </c>
      <c r="T18" s="13" t="s">
        <v>184</v>
      </c>
      <c r="U18" s="13" t="s">
        <v>186</v>
      </c>
      <c r="V18" s="17" t="s">
        <v>46</v>
      </c>
      <c r="W18" s="13" t="str">
        <f>HYPERLINK("https://www.stromypodkontrolou.cz/map/tree/d41bce85-5010-4276-b929-4760db78c679/cf56dc1a-a9dc-4979-b1b8-22ccd190fc0f")</f>
        <v>https://www.stromypodkontrolou.cz/map/tree/d41bce85-5010-4276-b929-4760db78c679/cf56dc1a-a9dc-4979-b1b8-22ccd190fc0f</v>
      </c>
      <c r="X18" s="13">
        <v>-761429.35465600004</v>
      </c>
      <c r="Y18" s="13">
        <v>-989030.31715000002</v>
      </c>
      <c r="Z18" s="13" t="str">
        <f>HYPERLINK("https://www.mapy.cz?st=search&amp;fr=50.54489054 14.05718319")</f>
        <v>https://www.mapy.cz?st=search&amp;fr=50.54489054 14.05718319</v>
      </c>
      <c r="AA18" s="18" t="s">
        <v>69</v>
      </c>
      <c r="AB18" s="17">
        <v>0.5</v>
      </c>
      <c r="AC18" s="80" t="s">
        <v>429</v>
      </c>
      <c r="AD18" s="110"/>
    </row>
    <row r="19" spans="1:30" ht="35.1" customHeight="1" x14ac:dyDescent="0.2">
      <c r="A19" s="12" t="s">
        <v>140</v>
      </c>
      <c r="B19" s="13" t="s">
        <v>183</v>
      </c>
      <c r="C19" s="14">
        <v>15402</v>
      </c>
      <c r="D19" s="15" t="s">
        <v>197</v>
      </c>
      <c r="E19" s="16" t="s">
        <v>141</v>
      </c>
      <c r="F19" s="13" t="s">
        <v>142</v>
      </c>
      <c r="G19" s="14" t="s">
        <v>66</v>
      </c>
      <c r="H19" s="14"/>
      <c r="I19" s="14"/>
      <c r="J19" s="14"/>
      <c r="K19" s="14" t="s">
        <v>155</v>
      </c>
      <c r="L19" s="14" t="s">
        <v>43</v>
      </c>
      <c r="M19" s="14" t="s">
        <v>97</v>
      </c>
      <c r="N19" s="14" t="s">
        <v>36</v>
      </c>
      <c r="O19" s="14" t="s">
        <v>34</v>
      </c>
      <c r="P19" s="14" t="s">
        <v>33</v>
      </c>
      <c r="Q19" s="14" t="s">
        <v>36</v>
      </c>
      <c r="R19" s="14" t="s">
        <v>33</v>
      </c>
      <c r="S19" s="13" t="s">
        <v>154</v>
      </c>
      <c r="T19" s="13" t="s">
        <v>184</v>
      </c>
      <c r="U19" s="13" t="s">
        <v>185</v>
      </c>
      <c r="V19" s="17" t="s">
        <v>46</v>
      </c>
      <c r="W19" s="13" t="str">
        <f>HYPERLINK("https://www.stromypodkontrolou.cz/map/tree/d41bce85-5010-4276-b929-4760db78c679/de9ddafb-324f-486a-8f08-69e3ccac1d54")</f>
        <v>https://www.stromypodkontrolou.cz/map/tree/d41bce85-5010-4276-b929-4760db78c679/de9ddafb-324f-486a-8f08-69e3ccac1d54</v>
      </c>
      <c r="X19" s="13">
        <v>-761260.55984700006</v>
      </c>
      <c r="Y19" s="13">
        <v>-989225.85142800002</v>
      </c>
      <c r="Z19" s="13" t="str">
        <f>HYPERLINK("https://www.mapy.cz?st=search&amp;fr=50.54336437 14.05993011")</f>
        <v>https://www.mapy.cz?st=search&amp;fr=50.54336437 14.05993011</v>
      </c>
      <c r="AA19" s="18" t="s">
        <v>38</v>
      </c>
      <c r="AB19" s="17">
        <v>0.1</v>
      </c>
      <c r="AC19" s="80" t="s">
        <v>445</v>
      </c>
      <c r="AD19" s="110"/>
    </row>
    <row r="20" spans="1:30" ht="35.1" customHeight="1" x14ac:dyDescent="0.2">
      <c r="A20" s="12" t="s">
        <v>140</v>
      </c>
      <c r="B20" s="13" t="s">
        <v>183</v>
      </c>
      <c r="C20" s="14">
        <v>15403</v>
      </c>
      <c r="D20" s="15" t="s">
        <v>198</v>
      </c>
      <c r="E20" s="16" t="s">
        <v>141</v>
      </c>
      <c r="F20" s="13" t="s">
        <v>142</v>
      </c>
      <c r="G20" s="14" t="s">
        <v>122</v>
      </c>
      <c r="H20" s="14" t="s">
        <v>67</v>
      </c>
      <c r="I20" s="14" t="s">
        <v>103</v>
      </c>
      <c r="J20" s="14"/>
      <c r="K20" s="14" t="s">
        <v>62</v>
      </c>
      <c r="L20" s="14" t="s">
        <v>43</v>
      </c>
      <c r="M20" s="14" t="s">
        <v>32</v>
      </c>
      <c r="N20" s="14" t="s">
        <v>33</v>
      </c>
      <c r="O20" s="14" t="s">
        <v>34</v>
      </c>
      <c r="P20" s="14" t="s">
        <v>33</v>
      </c>
      <c r="Q20" s="14" t="s">
        <v>36</v>
      </c>
      <c r="R20" s="14" t="s">
        <v>33</v>
      </c>
      <c r="S20" s="13" t="s">
        <v>154</v>
      </c>
      <c r="T20" s="13" t="s">
        <v>184</v>
      </c>
      <c r="U20" s="13" t="s">
        <v>186</v>
      </c>
      <c r="V20" s="17" t="s">
        <v>46</v>
      </c>
      <c r="W20" s="13" t="str">
        <f>HYPERLINK("https://www.stromypodkontrolou.cz/map/tree/d41bce85-5010-4276-b929-4760db78c679/ef4be14c-26a2-4b1f-a445-d007adf4b49c")</f>
        <v>https://www.stromypodkontrolou.cz/map/tree/d41bce85-5010-4276-b929-4760db78c679/ef4be14c-26a2-4b1f-a445-d007adf4b49c</v>
      </c>
      <c r="X20" s="13">
        <v>-761256.79833400005</v>
      </c>
      <c r="Y20" s="13">
        <v>-989231.96536599996</v>
      </c>
      <c r="Z20" s="13" t="str">
        <f>HYPERLINK("https://www.mapy.cz?st=search&amp;fr=50.54331473 14.05999482")</f>
        <v>https://www.mapy.cz?st=search&amp;fr=50.54331473 14.05999482</v>
      </c>
      <c r="AA20" s="18" t="s">
        <v>69</v>
      </c>
      <c r="AB20" s="17">
        <v>0.6</v>
      </c>
      <c r="AC20" s="80" t="s">
        <v>433</v>
      </c>
      <c r="AD20" s="110"/>
    </row>
    <row r="21" spans="1:30" ht="35.1" customHeight="1" x14ac:dyDescent="0.2">
      <c r="A21" s="12" t="s">
        <v>140</v>
      </c>
      <c r="B21" s="13" t="s">
        <v>183</v>
      </c>
      <c r="C21" s="14">
        <v>15413</v>
      </c>
      <c r="D21" s="15" t="s">
        <v>199</v>
      </c>
      <c r="E21" s="16" t="s">
        <v>141</v>
      </c>
      <c r="F21" s="13" t="s">
        <v>142</v>
      </c>
      <c r="G21" s="14" t="s">
        <v>85</v>
      </c>
      <c r="H21" s="14"/>
      <c r="I21" s="14"/>
      <c r="J21" s="14"/>
      <c r="K21" s="14" t="s">
        <v>116</v>
      </c>
      <c r="L21" s="14" t="s">
        <v>43</v>
      </c>
      <c r="M21" s="14" t="s">
        <v>33</v>
      </c>
      <c r="N21" s="14" t="s">
        <v>36</v>
      </c>
      <c r="O21" s="14" t="s">
        <v>34</v>
      </c>
      <c r="P21" s="14" t="s">
        <v>33</v>
      </c>
      <c r="Q21" s="14" t="s">
        <v>35</v>
      </c>
      <c r="R21" s="14" t="s">
        <v>36</v>
      </c>
      <c r="S21" s="13" t="s">
        <v>154</v>
      </c>
      <c r="T21" s="13" t="s">
        <v>184</v>
      </c>
      <c r="U21" s="13" t="s">
        <v>186</v>
      </c>
      <c r="V21" s="17" t="s">
        <v>46</v>
      </c>
      <c r="W21" s="13" t="str">
        <f>HYPERLINK("https://www.stromypodkontrolou.cz/map/tree/d41bce85-5010-4276-b929-4760db78c679/54826897-33b7-4871-bcdc-dbc04257d104")</f>
        <v>https://www.stromypodkontrolou.cz/map/tree/d41bce85-5010-4276-b929-4760db78c679/54826897-33b7-4871-bcdc-dbc04257d104</v>
      </c>
      <c r="X21" s="13">
        <v>-761232.67101000005</v>
      </c>
      <c r="Y21" s="13">
        <v>-989290.22511300002</v>
      </c>
      <c r="Z21" s="13" t="str">
        <f>HYPERLINK("https://www.mapy.cz?st=search&amp;fr=50.54282680 14.06044778")</f>
        <v>https://www.mapy.cz?st=search&amp;fr=50.54282680 14.06044778</v>
      </c>
      <c r="AA21" s="18" t="s">
        <v>48</v>
      </c>
      <c r="AB21" s="56">
        <v>0.1</v>
      </c>
      <c r="AC21" s="82" t="s">
        <v>428</v>
      </c>
      <c r="AD21" s="110"/>
    </row>
    <row r="22" spans="1:30" ht="35.1" customHeight="1" x14ac:dyDescent="0.2">
      <c r="A22" s="12" t="s">
        <v>140</v>
      </c>
      <c r="B22" s="13" t="s">
        <v>183</v>
      </c>
      <c r="C22" s="14">
        <v>15417</v>
      </c>
      <c r="D22" s="15" t="s">
        <v>200</v>
      </c>
      <c r="E22" s="16" t="s">
        <v>201</v>
      </c>
      <c r="F22" s="13" t="s">
        <v>202</v>
      </c>
      <c r="G22" s="14" t="s">
        <v>149</v>
      </c>
      <c r="H22" s="14"/>
      <c r="I22" s="14"/>
      <c r="J22" s="14"/>
      <c r="K22" s="14" t="s">
        <v>116</v>
      </c>
      <c r="L22" s="14" t="s">
        <v>43</v>
      </c>
      <c r="M22" s="14" t="s">
        <v>33</v>
      </c>
      <c r="N22" s="14" t="s">
        <v>33</v>
      </c>
      <c r="O22" s="14" t="s">
        <v>34</v>
      </c>
      <c r="P22" s="14" t="s">
        <v>97</v>
      </c>
      <c r="Q22" s="14" t="s">
        <v>35</v>
      </c>
      <c r="R22" s="14" t="s">
        <v>36</v>
      </c>
      <c r="S22" s="13" t="s">
        <v>98</v>
      </c>
      <c r="T22" s="13" t="s">
        <v>184</v>
      </c>
      <c r="U22" s="13" t="s">
        <v>186</v>
      </c>
      <c r="V22" s="17" t="s">
        <v>46</v>
      </c>
      <c r="W22" s="13" t="str">
        <f>HYPERLINK("https://www.stromypodkontrolou.cz/map/tree/d41bce85-5010-4276-b929-4760db78c679/7f1ee088-3822-4d2f-8263-b162d54170c2")</f>
        <v>https://www.stromypodkontrolou.cz/map/tree/d41bce85-5010-4276-b929-4760db78c679/7f1ee088-3822-4d2f-8263-b162d54170c2</v>
      </c>
      <c r="X22" s="13">
        <v>-761226.38458099996</v>
      </c>
      <c r="Y22" s="13">
        <v>-989302.372584</v>
      </c>
      <c r="Z22" s="13" t="str">
        <f>HYPERLINK("https://www.mapy.cz?st=search&amp;fr=50.54272666 14.06055976")</f>
        <v>https://www.mapy.cz?st=search&amp;fr=50.54272666 14.06055976</v>
      </c>
      <c r="AA22" s="18" t="s">
        <v>48</v>
      </c>
      <c r="AB22" s="56">
        <v>0.1</v>
      </c>
      <c r="AC22" s="82" t="s">
        <v>430</v>
      </c>
      <c r="AD22" s="110"/>
    </row>
    <row r="23" spans="1:30" ht="35.1" customHeight="1" thickBot="1" x14ac:dyDescent="0.25">
      <c r="A23" s="46" t="s">
        <v>140</v>
      </c>
      <c r="B23" s="47" t="s">
        <v>183</v>
      </c>
      <c r="C23" s="48">
        <v>15424</v>
      </c>
      <c r="D23" s="49" t="s">
        <v>203</v>
      </c>
      <c r="E23" s="50" t="s">
        <v>27</v>
      </c>
      <c r="F23" s="47" t="s">
        <v>28</v>
      </c>
      <c r="G23" s="48" t="s">
        <v>121</v>
      </c>
      <c r="H23" s="48"/>
      <c r="I23" s="48"/>
      <c r="J23" s="48"/>
      <c r="K23" s="48" t="s">
        <v>92</v>
      </c>
      <c r="L23" s="48" t="s">
        <v>31</v>
      </c>
      <c r="M23" s="48" t="s">
        <v>36</v>
      </c>
      <c r="N23" s="48" t="s">
        <v>36</v>
      </c>
      <c r="O23" s="48" t="s">
        <v>34</v>
      </c>
      <c r="P23" s="48" t="s">
        <v>97</v>
      </c>
      <c r="Q23" s="48" t="s">
        <v>36</v>
      </c>
      <c r="R23" s="48" t="s">
        <v>36</v>
      </c>
      <c r="S23" s="47" t="s">
        <v>98</v>
      </c>
      <c r="T23" s="47" t="s">
        <v>184</v>
      </c>
      <c r="U23" s="47" t="s">
        <v>186</v>
      </c>
      <c r="V23" s="44" t="s">
        <v>46</v>
      </c>
      <c r="W23" s="47" t="str">
        <f>HYPERLINK("https://www.stromypodkontrolou.cz/map/tree/d41bce85-5010-4276-b929-4760db78c679/e3126c44-9e3a-4379-9192-453ce494812d")</f>
        <v>https://www.stromypodkontrolou.cz/map/tree/d41bce85-5010-4276-b929-4760db78c679/e3126c44-9e3a-4379-9192-453ce494812d</v>
      </c>
      <c r="X23" s="47">
        <v>-761216.784797</v>
      </c>
      <c r="Y23" s="47">
        <v>-989332.70758699998</v>
      </c>
      <c r="Z23" s="47" t="str">
        <f>HYPERLINK("https://www.mapy.cz?st=search&amp;fr=50.54246885 14.06075422")</f>
        <v>https://www.mapy.cz?st=search&amp;fr=50.54246885 14.06075422</v>
      </c>
      <c r="AA23" s="45" t="s">
        <v>69</v>
      </c>
      <c r="AB23" s="44">
        <v>0.2</v>
      </c>
      <c r="AC23" s="85" t="s">
        <v>429</v>
      </c>
      <c r="AD23" s="111"/>
    </row>
    <row r="24" spans="1:30" ht="35.1" customHeight="1" thickTop="1" x14ac:dyDescent="0.2">
      <c r="A24" s="51" t="s">
        <v>26</v>
      </c>
      <c r="B24" s="25" t="s">
        <v>205</v>
      </c>
      <c r="C24" s="26">
        <v>10205</v>
      </c>
      <c r="D24" s="27" t="s">
        <v>206</v>
      </c>
      <c r="E24" s="28" t="s">
        <v>27</v>
      </c>
      <c r="F24" s="25" t="s">
        <v>28</v>
      </c>
      <c r="G24" s="26" t="s">
        <v>207</v>
      </c>
      <c r="H24" s="26"/>
      <c r="I24" s="26"/>
      <c r="J24" s="26"/>
      <c r="K24" s="26" t="s">
        <v>177</v>
      </c>
      <c r="L24" s="26" t="s">
        <v>106</v>
      </c>
      <c r="M24" s="26" t="s">
        <v>120</v>
      </c>
      <c r="N24" s="26" t="s">
        <v>33</v>
      </c>
      <c r="O24" s="26" t="s">
        <v>34</v>
      </c>
      <c r="P24" s="26" t="s">
        <v>35</v>
      </c>
      <c r="Q24" s="26" t="s">
        <v>33</v>
      </c>
      <c r="R24" s="26" t="s">
        <v>33</v>
      </c>
      <c r="S24" s="25" t="s">
        <v>208</v>
      </c>
      <c r="T24" s="25" t="s">
        <v>181</v>
      </c>
      <c r="U24" s="25" t="s">
        <v>182</v>
      </c>
      <c r="V24" s="29" t="s">
        <v>46</v>
      </c>
      <c r="W24" s="25" t="str">
        <f>HYPERLINK("https://www.stromypodkontrolou.cz/map/tree/d41bce85-5010-4276-b929-4760db78c679/b4589744-6915-4e54-b1c1-d3313006a8f4")</f>
        <v>https://www.stromypodkontrolou.cz/map/tree/d41bce85-5010-4276-b929-4760db78c679/b4589744-6915-4e54-b1c1-d3313006a8f4</v>
      </c>
      <c r="X24" s="25">
        <v>-761226.00305299996</v>
      </c>
      <c r="Y24" s="25">
        <v>-989908.34704599995</v>
      </c>
      <c r="Z24" s="25" t="str">
        <f>HYPERLINK("https://www.mapy.cz?st=search&amp;fr=50.53733379 14.06177111")</f>
        <v>https://www.mapy.cz?st=search&amp;fr=50.53733379 14.06177111</v>
      </c>
      <c r="AA24" s="7" t="s">
        <v>417</v>
      </c>
      <c r="AB24" s="87">
        <v>3.5</v>
      </c>
      <c r="AC24" s="88" t="s">
        <v>434</v>
      </c>
      <c r="AD24" s="115"/>
    </row>
    <row r="25" spans="1:30" ht="35.1" customHeight="1" x14ac:dyDescent="0.2">
      <c r="A25" s="12" t="s">
        <v>26</v>
      </c>
      <c r="B25" s="13" t="s">
        <v>205</v>
      </c>
      <c r="C25" s="14">
        <v>10209</v>
      </c>
      <c r="D25" s="15" t="s">
        <v>209</v>
      </c>
      <c r="E25" s="16" t="s">
        <v>27</v>
      </c>
      <c r="F25" s="13" t="s">
        <v>28</v>
      </c>
      <c r="G25" s="14" t="s">
        <v>210</v>
      </c>
      <c r="H25" s="14" t="s">
        <v>135</v>
      </c>
      <c r="I25" s="14" t="s">
        <v>110</v>
      </c>
      <c r="J25" s="14" t="s">
        <v>85</v>
      </c>
      <c r="K25" s="14" t="s">
        <v>119</v>
      </c>
      <c r="L25" s="14" t="s">
        <v>43</v>
      </c>
      <c r="M25" s="14" t="s">
        <v>50</v>
      </c>
      <c r="N25" s="14" t="s">
        <v>33</v>
      </c>
      <c r="O25" s="14" t="s">
        <v>45</v>
      </c>
      <c r="P25" s="14" t="s">
        <v>35</v>
      </c>
      <c r="Q25" s="14" t="s">
        <v>36</v>
      </c>
      <c r="R25" s="14" t="s">
        <v>36</v>
      </c>
      <c r="S25" s="13" t="s">
        <v>180</v>
      </c>
      <c r="T25" s="13" t="s">
        <v>181</v>
      </c>
      <c r="U25" s="13" t="s">
        <v>182</v>
      </c>
      <c r="V25" s="17" t="s">
        <v>35</v>
      </c>
      <c r="W25" s="13" t="str">
        <f>HYPERLINK("https://www.stromypodkontrolou.cz/map/tree/d41bce85-5010-4276-b929-4760db78c679/9165715f-f6ea-4836-ba92-cdf48c1dc030")</f>
        <v>https://www.stromypodkontrolou.cz/map/tree/d41bce85-5010-4276-b929-4760db78c679/9165715f-f6ea-4836-ba92-cdf48c1dc030</v>
      </c>
      <c r="X25" s="13">
        <v>-761211.79746799998</v>
      </c>
      <c r="Y25" s="13">
        <v>-990186.57550799998</v>
      </c>
      <c r="Z25" s="13" t="str">
        <f>HYPERLINK("https://www.mapy.cz?st=search&amp;fr=50.53487549 14.06252314")</f>
        <v>https://www.mapy.cz?st=search&amp;fr=50.53487549 14.06252314</v>
      </c>
      <c r="AA25" s="6" t="s">
        <v>418</v>
      </c>
      <c r="AB25" s="87">
        <v>1.3</v>
      </c>
      <c r="AC25" s="88" t="s">
        <v>434</v>
      </c>
      <c r="AD25" s="113"/>
    </row>
    <row r="26" spans="1:30" ht="35.1" customHeight="1" thickBot="1" x14ac:dyDescent="0.25">
      <c r="A26" s="46" t="s">
        <v>26</v>
      </c>
      <c r="B26" s="47" t="s">
        <v>205</v>
      </c>
      <c r="C26" s="48">
        <v>10220</v>
      </c>
      <c r="D26" s="49" t="s">
        <v>211</v>
      </c>
      <c r="E26" s="50" t="s">
        <v>27</v>
      </c>
      <c r="F26" s="47" t="s">
        <v>28</v>
      </c>
      <c r="G26" s="48" t="s">
        <v>170</v>
      </c>
      <c r="H26" s="48" t="s">
        <v>164</v>
      </c>
      <c r="I26" s="48"/>
      <c r="J26" s="48"/>
      <c r="K26" s="48" t="s">
        <v>179</v>
      </c>
      <c r="L26" s="48" t="s">
        <v>106</v>
      </c>
      <c r="M26" s="48" t="s">
        <v>107</v>
      </c>
      <c r="N26" s="48" t="s">
        <v>33</v>
      </c>
      <c r="O26" s="48" t="s">
        <v>45</v>
      </c>
      <c r="P26" s="48" t="s">
        <v>46</v>
      </c>
      <c r="Q26" s="48" t="s">
        <v>36</v>
      </c>
      <c r="R26" s="48" t="s">
        <v>36</v>
      </c>
      <c r="S26" s="47" t="s">
        <v>212</v>
      </c>
      <c r="T26" s="47" t="s">
        <v>181</v>
      </c>
      <c r="U26" s="47" t="s">
        <v>182</v>
      </c>
      <c r="V26" s="44" t="s">
        <v>35</v>
      </c>
      <c r="W26" s="47" t="str">
        <f>HYPERLINK("https://www.stromypodkontrolou.cz/map/tree/d41bce85-5010-4276-b929-4760db78c679/9ed76bfb-b6c0-40e1-8163-eb82be50cd73")</f>
        <v>https://www.stromypodkontrolou.cz/map/tree/d41bce85-5010-4276-b929-4760db78c679/9ed76bfb-b6c0-40e1-8163-eb82be50cd73</v>
      </c>
      <c r="X26" s="47">
        <v>-761732.682761</v>
      </c>
      <c r="Y26" s="47">
        <v>-990682.94072499999</v>
      </c>
      <c r="Z26" s="47" t="str">
        <f>HYPERLINK("https://www.mapy.cz?st=search&amp;fr=50.52979694 14.05623738")</f>
        <v>https://www.mapy.cz?st=search&amp;fr=50.52979694 14.05623738</v>
      </c>
      <c r="AA26" s="8" t="s">
        <v>419</v>
      </c>
      <c r="AB26" s="89">
        <v>3.5</v>
      </c>
      <c r="AC26" s="90" t="s">
        <v>434</v>
      </c>
      <c r="AD26" s="116"/>
    </row>
    <row r="27" spans="1:30" ht="35.1" customHeight="1" thickTop="1" x14ac:dyDescent="0.2">
      <c r="A27" s="19" t="s">
        <v>140</v>
      </c>
      <c r="B27" s="52" t="s">
        <v>225</v>
      </c>
      <c r="C27" s="53">
        <v>15710</v>
      </c>
      <c r="D27" s="54" t="s">
        <v>228</v>
      </c>
      <c r="E27" s="55" t="s">
        <v>27</v>
      </c>
      <c r="F27" s="52" t="s">
        <v>28</v>
      </c>
      <c r="G27" s="53" t="s">
        <v>57</v>
      </c>
      <c r="H27" s="53"/>
      <c r="I27" s="53"/>
      <c r="J27" s="53"/>
      <c r="K27" s="53" t="s">
        <v>58</v>
      </c>
      <c r="L27" s="53" t="s">
        <v>53</v>
      </c>
      <c r="M27" s="53" t="s">
        <v>33</v>
      </c>
      <c r="N27" s="53" t="s">
        <v>33</v>
      </c>
      <c r="O27" s="53" t="s">
        <v>34</v>
      </c>
      <c r="P27" s="53" t="s">
        <v>33</v>
      </c>
      <c r="Q27" s="53" t="s">
        <v>36</v>
      </c>
      <c r="R27" s="53" t="s">
        <v>36</v>
      </c>
      <c r="S27" s="52" t="s">
        <v>154</v>
      </c>
      <c r="T27" s="52" t="s">
        <v>226</v>
      </c>
      <c r="U27" s="52" t="s">
        <v>227</v>
      </c>
      <c r="V27" s="56" t="s">
        <v>46</v>
      </c>
      <c r="W27" s="52" t="str">
        <f>HYPERLINK("https://www.stromypodkontrolou.cz/map/tree/d41bce85-5010-4276-b929-4760db78c679/3d668528-a2d2-4ad9-a5d1-d4d7e682cf24")</f>
        <v>https://www.stromypodkontrolou.cz/map/tree/d41bce85-5010-4276-b929-4760db78c679/3d668528-a2d2-4ad9-a5d1-d4d7e682cf24</v>
      </c>
      <c r="X27" s="52">
        <v>-761261.82976700005</v>
      </c>
      <c r="Y27" s="52">
        <v>-990502.50099800003</v>
      </c>
      <c r="Z27" s="52" t="str">
        <f>HYPERLINK("https://www.mapy.cz?st=search&amp;fr=50.53200019 14.06245306")</f>
        <v>https://www.mapy.cz?st=search&amp;fr=50.53200019 14.06245306</v>
      </c>
      <c r="AA27" s="31" t="s">
        <v>48</v>
      </c>
      <c r="AB27" s="56">
        <v>0.6</v>
      </c>
      <c r="AC27" s="82" t="s">
        <v>426</v>
      </c>
      <c r="AD27" s="115"/>
    </row>
    <row r="28" spans="1:30" ht="35.1" customHeight="1" x14ac:dyDescent="0.2">
      <c r="A28" s="19" t="s">
        <v>140</v>
      </c>
      <c r="B28" s="20" t="s">
        <v>225</v>
      </c>
      <c r="C28" s="21">
        <v>15808</v>
      </c>
      <c r="D28" s="22" t="s">
        <v>236</v>
      </c>
      <c r="E28" s="23" t="s">
        <v>232</v>
      </c>
      <c r="F28" s="20" t="s">
        <v>233</v>
      </c>
      <c r="G28" s="21" t="s">
        <v>220</v>
      </c>
      <c r="H28" s="21" t="s">
        <v>217</v>
      </c>
      <c r="I28" s="21"/>
      <c r="J28" s="21"/>
      <c r="K28" s="21" t="s">
        <v>58</v>
      </c>
      <c r="L28" s="21" t="s">
        <v>116</v>
      </c>
      <c r="M28" s="21" t="s">
        <v>49</v>
      </c>
      <c r="N28" s="21" t="s">
        <v>97</v>
      </c>
      <c r="O28" s="21" t="s">
        <v>34</v>
      </c>
      <c r="P28" s="21" t="s">
        <v>33</v>
      </c>
      <c r="Q28" s="21" t="s">
        <v>36</v>
      </c>
      <c r="R28" s="21" t="s">
        <v>33</v>
      </c>
      <c r="S28" s="20" t="s">
        <v>237</v>
      </c>
      <c r="T28" s="20" t="s">
        <v>226</v>
      </c>
      <c r="U28" s="20" t="s">
        <v>227</v>
      </c>
      <c r="V28" s="17" t="s">
        <v>46</v>
      </c>
      <c r="W28" s="20" t="str">
        <f>HYPERLINK("https://www.stromypodkontrolou.cz/map/tree/d41bce85-5010-4276-b929-4760db78c679/8e118299-2759-42b1-b69e-1270eb95a0e5")</f>
        <v>https://www.stromypodkontrolou.cz/map/tree/d41bce85-5010-4276-b929-4760db78c679/8e118299-2759-42b1-b69e-1270eb95a0e5</v>
      </c>
      <c r="X28" s="20">
        <v>-761658.18634599994</v>
      </c>
      <c r="Y28" s="20">
        <v>-990784.24879500002</v>
      </c>
      <c r="Z28" s="20" t="str">
        <f>HYPERLINK("https://www.mapy.cz?st=search&amp;fr=50.52898979 14.05747924")</f>
        <v>https://www.mapy.cz?st=search&amp;fr=50.52898979 14.05747924</v>
      </c>
      <c r="AA28" s="18" t="s">
        <v>38</v>
      </c>
      <c r="AB28" s="17">
        <v>3.5</v>
      </c>
      <c r="AC28" s="80" t="s">
        <v>449</v>
      </c>
      <c r="AD28" s="110"/>
    </row>
    <row r="29" spans="1:30" ht="35.1" customHeight="1" thickBot="1" x14ac:dyDescent="0.25">
      <c r="A29" s="19" t="s">
        <v>140</v>
      </c>
      <c r="B29" s="40" t="s">
        <v>225</v>
      </c>
      <c r="C29" s="41">
        <v>15815</v>
      </c>
      <c r="D29" s="42" t="s">
        <v>238</v>
      </c>
      <c r="E29" s="43" t="s">
        <v>232</v>
      </c>
      <c r="F29" s="40" t="s">
        <v>233</v>
      </c>
      <c r="G29" s="41" t="s">
        <v>216</v>
      </c>
      <c r="H29" s="41"/>
      <c r="I29" s="41"/>
      <c r="J29" s="41"/>
      <c r="K29" s="41" t="s">
        <v>92</v>
      </c>
      <c r="L29" s="41" t="s">
        <v>106</v>
      </c>
      <c r="M29" s="41" t="s">
        <v>50</v>
      </c>
      <c r="N29" s="41" t="s">
        <v>33</v>
      </c>
      <c r="O29" s="41" t="s">
        <v>34</v>
      </c>
      <c r="P29" s="41" t="s">
        <v>35</v>
      </c>
      <c r="Q29" s="41" t="s">
        <v>36</v>
      </c>
      <c r="R29" s="41" t="s">
        <v>33</v>
      </c>
      <c r="S29" s="40" t="s">
        <v>148</v>
      </c>
      <c r="T29" s="40" t="s">
        <v>226</v>
      </c>
      <c r="U29" s="40" t="s">
        <v>227</v>
      </c>
      <c r="V29" s="44" t="s">
        <v>46</v>
      </c>
      <c r="W29" s="40" t="str">
        <f>HYPERLINK("https://www.stromypodkontrolou.cz/map/tree/d41bce85-5010-4276-b929-4760db78c679/796c826b-c537-4b7c-8acc-f37f29364d9a")</f>
        <v>https://www.stromypodkontrolou.cz/map/tree/d41bce85-5010-4276-b929-4760db78c679/796c826b-c537-4b7c-8acc-f37f29364d9a</v>
      </c>
      <c r="X29" s="40">
        <v>-761711.54420899996</v>
      </c>
      <c r="Y29" s="40">
        <v>-990815.93875099998</v>
      </c>
      <c r="Z29" s="40" t="str">
        <f>HYPERLINK("https://www.mapy.cz?st=search&amp;fr=50.52864004 14.05679729")</f>
        <v>https://www.mapy.cz?st=search&amp;fr=50.52864004 14.05679729</v>
      </c>
      <c r="AA29" s="45" t="s">
        <v>38</v>
      </c>
      <c r="AB29" s="44">
        <v>0.8</v>
      </c>
      <c r="AC29" s="81" t="s">
        <v>446</v>
      </c>
      <c r="AD29" s="111"/>
    </row>
    <row r="30" spans="1:30" ht="35.1" customHeight="1" thickTop="1" x14ac:dyDescent="0.2">
      <c r="A30" s="19" t="s">
        <v>26</v>
      </c>
      <c r="B30" s="52" t="s">
        <v>240</v>
      </c>
      <c r="C30" s="53">
        <v>10224</v>
      </c>
      <c r="D30" s="54" t="s">
        <v>243</v>
      </c>
      <c r="E30" s="55" t="s">
        <v>27</v>
      </c>
      <c r="F30" s="52" t="s">
        <v>28</v>
      </c>
      <c r="G30" s="53" t="s">
        <v>83</v>
      </c>
      <c r="H30" s="53"/>
      <c r="I30" s="53"/>
      <c r="J30" s="53"/>
      <c r="K30" s="53" t="s">
        <v>75</v>
      </c>
      <c r="L30" s="53" t="s">
        <v>106</v>
      </c>
      <c r="M30" s="53" t="s">
        <v>52</v>
      </c>
      <c r="N30" s="53" t="s">
        <v>33</v>
      </c>
      <c r="O30" s="53" t="s">
        <v>34</v>
      </c>
      <c r="P30" s="53" t="s">
        <v>35</v>
      </c>
      <c r="Q30" s="53" t="s">
        <v>36</v>
      </c>
      <c r="R30" s="53" t="s">
        <v>36</v>
      </c>
      <c r="S30" s="52" t="s">
        <v>244</v>
      </c>
      <c r="T30" s="52" t="s">
        <v>241</v>
      </c>
      <c r="U30" s="52" t="s">
        <v>242</v>
      </c>
      <c r="V30" s="56" t="s">
        <v>35</v>
      </c>
      <c r="W30" s="52" t="str">
        <f>HYPERLINK("https://www.stromypodkontrolou.cz/map/tree/d41bce85-5010-4276-b929-4760db78c679/fe3b1b36-01bb-438d-8ed6-cc1fa4861230")</f>
        <v>https://www.stromypodkontrolou.cz/map/tree/d41bce85-5010-4276-b929-4760db78c679/fe3b1b36-01bb-438d-8ed6-cc1fa4861230</v>
      </c>
      <c r="X30" s="52">
        <v>-761935.32329800003</v>
      </c>
      <c r="Y30" s="52">
        <v>-990829.81547899998</v>
      </c>
      <c r="Z30" s="52" t="str">
        <f>HYPERLINK("https://www.mapy.cz?st=search&amp;fr=50.52823256 14.05370034")</f>
        <v>https://www.mapy.cz?st=search&amp;fr=50.52823256 14.05370034</v>
      </c>
      <c r="AA30" s="31" t="s">
        <v>38</v>
      </c>
      <c r="AB30" s="56">
        <v>0.7</v>
      </c>
      <c r="AC30" s="82" t="s">
        <v>445</v>
      </c>
      <c r="AD30" s="115"/>
    </row>
    <row r="31" spans="1:30" ht="35.1" customHeight="1" x14ac:dyDescent="0.2">
      <c r="A31" s="19" t="s">
        <v>26</v>
      </c>
      <c r="B31" s="20" t="s">
        <v>240</v>
      </c>
      <c r="C31" s="21">
        <v>10225</v>
      </c>
      <c r="D31" s="22" t="s">
        <v>245</v>
      </c>
      <c r="E31" s="23" t="s">
        <v>27</v>
      </c>
      <c r="F31" s="20" t="s">
        <v>28</v>
      </c>
      <c r="G31" s="21" t="s">
        <v>101</v>
      </c>
      <c r="H31" s="21"/>
      <c r="I31" s="21"/>
      <c r="J31" s="21"/>
      <c r="K31" s="21" t="s">
        <v>77</v>
      </c>
      <c r="L31" s="21" t="s">
        <v>31</v>
      </c>
      <c r="M31" s="21" t="s">
        <v>52</v>
      </c>
      <c r="N31" s="21" t="s">
        <v>33</v>
      </c>
      <c r="O31" s="21" t="s">
        <v>45</v>
      </c>
      <c r="P31" s="21" t="s">
        <v>35</v>
      </c>
      <c r="Q31" s="21" t="s">
        <v>36</v>
      </c>
      <c r="R31" s="21" t="s">
        <v>36</v>
      </c>
      <c r="S31" s="20" t="s">
        <v>246</v>
      </c>
      <c r="T31" s="20" t="s">
        <v>241</v>
      </c>
      <c r="U31" s="20" t="s">
        <v>242</v>
      </c>
      <c r="V31" s="17" t="s">
        <v>36</v>
      </c>
      <c r="W31" s="20" t="str">
        <f>HYPERLINK("https://www.stromypodkontrolou.cz/map/tree/d41bce85-5010-4276-b929-4760db78c679/be933f80-416f-45a0-baf6-cd053f78bf39")</f>
        <v>https://www.stromypodkontrolou.cz/map/tree/d41bce85-5010-4276-b929-4760db78c679/be933f80-416f-45a0-baf6-cd053f78bf39</v>
      </c>
      <c r="X31" s="20">
        <v>-761936.94283299998</v>
      </c>
      <c r="Y31" s="20">
        <v>-990831.06924900005</v>
      </c>
      <c r="Z31" s="20" t="str">
        <f>HYPERLINK("https://www.mapy.cz?st=search&amp;fr=50.52821934 14.05368023")</f>
        <v>https://www.mapy.cz?st=search&amp;fr=50.52821934 14.05368023</v>
      </c>
      <c r="AA31" s="18" t="s">
        <v>38</v>
      </c>
      <c r="AB31" s="17">
        <v>0.5</v>
      </c>
      <c r="AC31" s="82" t="s">
        <v>445</v>
      </c>
      <c r="AD31" s="115"/>
    </row>
    <row r="32" spans="1:30" ht="35.1" customHeight="1" x14ac:dyDescent="0.2">
      <c r="A32" s="19" t="s">
        <v>26</v>
      </c>
      <c r="B32" s="20" t="s">
        <v>240</v>
      </c>
      <c r="C32" s="21">
        <v>10233</v>
      </c>
      <c r="D32" s="22" t="s">
        <v>247</v>
      </c>
      <c r="E32" s="23" t="s">
        <v>27</v>
      </c>
      <c r="F32" s="20" t="s">
        <v>28</v>
      </c>
      <c r="G32" s="21" t="s">
        <v>103</v>
      </c>
      <c r="H32" s="21"/>
      <c r="I32" s="21"/>
      <c r="J32" s="21"/>
      <c r="K32" s="21" t="s">
        <v>102</v>
      </c>
      <c r="L32" s="21" t="s">
        <v>116</v>
      </c>
      <c r="M32" s="21" t="s">
        <v>44</v>
      </c>
      <c r="N32" s="21" t="s">
        <v>36</v>
      </c>
      <c r="O32" s="21" t="s">
        <v>45</v>
      </c>
      <c r="P32" s="21" t="s">
        <v>35</v>
      </c>
      <c r="Q32" s="21" t="s">
        <v>35</v>
      </c>
      <c r="R32" s="21" t="s">
        <v>35</v>
      </c>
      <c r="S32" s="20" t="s">
        <v>248</v>
      </c>
      <c r="T32" s="20" t="s">
        <v>241</v>
      </c>
      <c r="U32" s="20" t="s">
        <v>242</v>
      </c>
      <c r="V32" s="17" t="s">
        <v>36</v>
      </c>
      <c r="W32" s="20" t="str">
        <f>HYPERLINK("https://www.stromypodkontrolou.cz/map/tree/d41bce85-5010-4276-b929-4760db78c679/874c11b1-af65-4a5f-b640-233ad3d6d9a8")</f>
        <v>https://www.stromypodkontrolou.cz/map/tree/d41bce85-5010-4276-b929-4760db78c679/874c11b1-af65-4a5f-b640-233ad3d6d9a8</v>
      </c>
      <c r="X32" s="20">
        <v>-761946.35976200004</v>
      </c>
      <c r="Y32" s="20">
        <v>-990840.358886</v>
      </c>
      <c r="Z32" s="20" t="str">
        <f>HYPERLINK("https://www.mapy.cz?st=search&amp;fr=50.52812471 14.05356724")</f>
        <v>https://www.mapy.cz?st=search&amp;fr=50.52812471 14.05356724</v>
      </c>
      <c r="AA32" s="18" t="s">
        <v>48</v>
      </c>
      <c r="AB32" s="17">
        <v>0.1</v>
      </c>
      <c r="AC32" s="80" t="s">
        <v>426</v>
      </c>
      <c r="AD32" s="110"/>
    </row>
    <row r="33" spans="1:30" ht="35.1" customHeight="1" x14ac:dyDescent="0.2">
      <c r="A33" s="19" t="s">
        <v>26</v>
      </c>
      <c r="B33" s="20" t="s">
        <v>240</v>
      </c>
      <c r="C33" s="21">
        <v>10234</v>
      </c>
      <c r="D33" s="22" t="s">
        <v>249</v>
      </c>
      <c r="E33" s="23" t="s">
        <v>27</v>
      </c>
      <c r="F33" s="20" t="s">
        <v>28</v>
      </c>
      <c r="G33" s="21" t="s">
        <v>110</v>
      </c>
      <c r="H33" s="21" t="s">
        <v>41</v>
      </c>
      <c r="I33" s="21"/>
      <c r="J33" s="21"/>
      <c r="K33" s="21" t="s">
        <v>81</v>
      </c>
      <c r="L33" s="21" t="s">
        <v>63</v>
      </c>
      <c r="M33" s="21" t="s">
        <v>32</v>
      </c>
      <c r="N33" s="21" t="s">
        <v>36</v>
      </c>
      <c r="O33" s="21" t="s">
        <v>34</v>
      </c>
      <c r="P33" s="21" t="s">
        <v>46</v>
      </c>
      <c r="Q33" s="21" t="s">
        <v>36</v>
      </c>
      <c r="R33" s="21" t="s">
        <v>36</v>
      </c>
      <c r="S33" s="20" t="s">
        <v>221</v>
      </c>
      <c r="T33" s="20" t="s">
        <v>241</v>
      </c>
      <c r="U33" s="20" t="s">
        <v>242</v>
      </c>
      <c r="V33" s="17" t="s">
        <v>35</v>
      </c>
      <c r="W33" s="20" t="str">
        <f>HYPERLINK("https://www.stromypodkontrolou.cz/map/tree/d41bce85-5010-4276-b929-4760db78c679/318b94bc-e916-4750-8b3b-5345fea0471e")</f>
        <v>https://www.stromypodkontrolou.cz/map/tree/d41bce85-5010-4276-b929-4760db78c679/318b94bc-e916-4750-8b3b-5345fea0471e</v>
      </c>
      <c r="X33" s="20">
        <v>-761955.28336899995</v>
      </c>
      <c r="Y33" s="20">
        <v>-990837.60158799996</v>
      </c>
      <c r="Z33" s="20" t="str">
        <f>HYPERLINK("https://www.mapy.cz?st=search&amp;fr=50.52813792 14.05343715")</f>
        <v>https://www.mapy.cz?st=search&amp;fr=50.52813792 14.05343715</v>
      </c>
      <c r="AA33" s="18" t="s">
        <v>38</v>
      </c>
      <c r="AB33" s="17">
        <v>0.2</v>
      </c>
      <c r="AC33" s="80" t="s">
        <v>445</v>
      </c>
      <c r="AD33" s="110"/>
    </row>
    <row r="34" spans="1:30" ht="35.1" customHeight="1" x14ac:dyDescent="0.2">
      <c r="A34" s="19" t="s">
        <v>26</v>
      </c>
      <c r="B34" s="20" t="s">
        <v>240</v>
      </c>
      <c r="C34" s="21">
        <v>10235</v>
      </c>
      <c r="D34" s="22" t="s">
        <v>250</v>
      </c>
      <c r="E34" s="23" t="s">
        <v>27</v>
      </c>
      <c r="F34" s="20" t="s">
        <v>28</v>
      </c>
      <c r="G34" s="21" t="s">
        <v>114</v>
      </c>
      <c r="H34" s="21" t="s">
        <v>74</v>
      </c>
      <c r="I34" s="21"/>
      <c r="J34" s="21"/>
      <c r="K34" s="21" t="s">
        <v>115</v>
      </c>
      <c r="L34" s="21" t="s">
        <v>63</v>
      </c>
      <c r="M34" s="21" t="s">
        <v>32</v>
      </c>
      <c r="N34" s="21" t="s">
        <v>36</v>
      </c>
      <c r="O34" s="21" t="s">
        <v>45</v>
      </c>
      <c r="P34" s="21" t="s">
        <v>46</v>
      </c>
      <c r="Q34" s="21" t="s">
        <v>35</v>
      </c>
      <c r="R34" s="21" t="s">
        <v>36</v>
      </c>
      <c r="S34" s="20" t="s">
        <v>251</v>
      </c>
      <c r="T34" s="20" t="s">
        <v>241</v>
      </c>
      <c r="U34" s="20" t="s">
        <v>242</v>
      </c>
      <c r="V34" s="17" t="s">
        <v>36</v>
      </c>
      <c r="W34" s="20" t="str">
        <f>HYPERLINK("https://www.stromypodkontrolou.cz/map/tree/d41bce85-5010-4276-b929-4760db78c679/648b8e1b-9c90-4b13-9f16-8840c388e2fd")</f>
        <v>https://www.stromypodkontrolou.cz/map/tree/d41bce85-5010-4276-b929-4760db78c679/648b8e1b-9c90-4b13-9f16-8840c388e2fd</v>
      </c>
      <c r="X34" s="20">
        <v>-761953.93775599997</v>
      </c>
      <c r="Y34" s="20">
        <v>-990839.11057899997</v>
      </c>
      <c r="Z34" s="20" t="str">
        <f>HYPERLINK("https://www.mapy.cz?st=search&amp;fr=50.52812620 14.05345894")</f>
        <v>https://www.mapy.cz?st=search&amp;fr=50.52812620 14.05345894</v>
      </c>
      <c r="AA34" s="18" t="s">
        <v>48</v>
      </c>
      <c r="AB34" s="17">
        <v>0.3</v>
      </c>
      <c r="AC34" s="80" t="s">
        <v>426</v>
      </c>
      <c r="AD34" s="110"/>
    </row>
    <row r="35" spans="1:30" ht="35.1" customHeight="1" x14ac:dyDescent="0.2">
      <c r="A35" s="19" t="s">
        <v>26</v>
      </c>
      <c r="B35" s="20" t="s">
        <v>240</v>
      </c>
      <c r="C35" s="21">
        <v>10238</v>
      </c>
      <c r="D35" s="22" t="s">
        <v>252</v>
      </c>
      <c r="E35" s="23" t="s">
        <v>64</v>
      </c>
      <c r="F35" s="20" t="s">
        <v>65</v>
      </c>
      <c r="G35" s="21" t="s">
        <v>56</v>
      </c>
      <c r="H35" s="21"/>
      <c r="I35" s="21"/>
      <c r="J35" s="21"/>
      <c r="K35" s="21" t="s">
        <v>62</v>
      </c>
      <c r="L35" s="21" t="s">
        <v>106</v>
      </c>
      <c r="M35" s="21" t="s">
        <v>97</v>
      </c>
      <c r="N35" s="21" t="s">
        <v>33</v>
      </c>
      <c r="O35" s="21" t="s">
        <v>34</v>
      </c>
      <c r="P35" s="21" t="s">
        <v>97</v>
      </c>
      <c r="Q35" s="21" t="s">
        <v>36</v>
      </c>
      <c r="R35" s="21" t="s">
        <v>33</v>
      </c>
      <c r="S35" s="20" t="s">
        <v>98</v>
      </c>
      <c r="T35" s="20" t="s">
        <v>241</v>
      </c>
      <c r="U35" s="20" t="s">
        <v>242</v>
      </c>
      <c r="V35" s="17" t="s">
        <v>46</v>
      </c>
      <c r="W35" s="20" t="str">
        <f>HYPERLINK("https://www.stromypodkontrolou.cz/map/tree/d41bce85-5010-4276-b929-4760db78c679/d37d5059-ed2b-4b6a-9740-b0d834ae3ee2")</f>
        <v>https://www.stromypodkontrolou.cz/map/tree/d41bce85-5010-4276-b929-4760db78c679/d37d5059-ed2b-4b6a-9740-b0d834ae3ee2</v>
      </c>
      <c r="X35" s="20">
        <v>-761922.80298299994</v>
      </c>
      <c r="Y35" s="20">
        <v>-990821.49523899995</v>
      </c>
      <c r="Z35" s="20" t="str">
        <f>HYPERLINK("https://www.mapy.cz?st=search&amp;fr=50.52832250 14.05385859")</f>
        <v>https://www.mapy.cz?st=search&amp;fr=50.52832250 14.05385859</v>
      </c>
      <c r="AA35" s="18" t="s">
        <v>69</v>
      </c>
      <c r="AB35" s="17">
        <v>0.5</v>
      </c>
      <c r="AC35" s="80" t="s">
        <v>436</v>
      </c>
      <c r="AD35" s="110"/>
    </row>
    <row r="36" spans="1:30" ht="35.1" customHeight="1" x14ac:dyDescent="0.2">
      <c r="A36" s="19" t="s">
        <v>26</v>
      </c>
      <c r="B36" s="20" t="s">
        <v>240</v>
      </c>
      <c r="C36" s="21">
        <v>10239</v>
      </c>
      <c r="D36" s="22" t="s">
        <v>253</v>
      </c>
      <c r="E36" s="23" t="s">
        <v>64</v>
      </c>
      <c r="F36" s="20" t="s">
        <v>65</v>
      </c>
      <c r="G36" s="21" t="s">
        <v>104</v>
      </c>
      <c r="H36" s="21"/>
      <c r="I36" s="21"/>
      <c r="J36" s="21"/>
      <c r="K36" s="21" t="s">
        <v>102</v>
      </c>
      <c r="L36" s="21" t="s">
        <v>63</v>
      </c>
      <c r="M36" s="21" t="s">
        <v>35</v>
      </c>
      <c r="N36" s="21" t="s">
        <v>36</v>
      </c>
      <c r="O36" s="21" t="s">
        <v>34</v>
      </c>
      <c r="P36" s="21" t="s">
        <v>97</v>
      </c>
      <c r="Q36" s="21" t="s">
        <v>36</v>
      </c>
      <c r="R36" s="21" t="s">
        <v>33</v>
      </c>
      <c r="S36" s="20" t="s">
        <v>98</v>
      </c>
      <c r="T36" s="20" t="s">
        <v>241</v>
      </c>
      <c r="U36" s="20" t="s">
        <v>242</v>
      </c>
      <c r="V36" s="17" t="s">
        <v>46</v>
      </c>
      <c r="W36" s="20" t="str">
        <f>HYPERLINK("https://www.stromypodkontrolou.cz/map/tree/d41bce85-5010-4276-b929-4760db78c679/0b97ba23-ef7a-403a-b628-03e4d12638f1")</f>
        <v>https://www.stromypodkontrolou.cz/map/tree/d41bce85-5010-4276-b929-4760db78c679/0b97ba23-ef7a-403a-b628-03e4d12638f1</v>
      </c>
      <c r="X36" s="20">
        <v>-761923.71346999996</v>
      </c>
      <c r="Y36" s="20">
        <v>-990822.32328500005</v>
      </c>
      <c r="Z36" s="20" t="str">
        <f>HYPERLINK("https://www.mapy.cz?st=search&amp;fr=50.52831397 14.05384753")</f>
        <v>https://www.mapy.cz?st=search&amp;fr=50.52831397 14.05384753</v>
      </c>
      <c r="AA36" s="18" t="s">
        <v>69</v>
      </c>
      <c r="AB36" s="17">
        <v>0.1</v>
      </c>
      <c r="AC36" s="80" t="s">
        <v>437</v>
      </c>
      <c r="AD36" s="113"/>
    </row>
    <row r="37" spans="1:30" ht="35.1" customHeight="1" thickBot="1" x14ac:dyDescent="0.25">
      <c r="A37" s="39" t="s">
        <v>26</v>
      </c>
      <c r="B37" s="40" t="s">
        <v>240</v>
      </c>
      <c r="C37" s="41">
        <v>10240</v>
      </c>
      <c r="D37" s="42" t="s">
        <v>254</v>
      </c>
      <c r="E37" s="43" t="s">
        <v>27</v>
      </c>
      <c r="F37" s="40" t="s">
        <v>28</v>
      </c>
      <c r="G37" s="41" t="s">
        <v>164</v>
      </c>
      <c r="H37" s="41"/>
      <c r="I37" s="41"/>
      <c r="J37" s="41"/>
      <c r="K37" s="41" t="s">
        <v>119</v>
      </c>
      <c r="L37" s="41" t="s">
        <v>31</v>
      </c>
      <c r="M37" s="41" t="s">
        <v>51</v>
      </c>
      <c r="N37" s="41" t="s">
        <v>33</v>
      </c>
      <c r="O37" s="41" t="s">
        <v>108</v>
      </c>
      <c r="P37" s="41" t="s">
        <v>35</v>
      </c>
      <c r="Q37" s="41" t="s">
        <v>35</v>
      </c>
      <c r="R37" s="41" t="s">
        <v>35</v>
      </c>
      <c r="S37" s="40" t="s">
        <v>255</v>
      </c>
      <c r="T37" s="40" t="s">
        <v>241</v>
      </c>
      <c r="U37" s="40" t="s">
        <v>242</v>
      </c>
      <c r="V37" s="44" t="s">
        <v>35</v>
      </c>
      <c r="W37" s="40" t="str">
        <f>HYPERLINK("https://www.stromypodkontrolou.cz/map/tree/d41bce85-5010-4276-b929-4760db78c679/b803d621-0a4d-41b9-a6dc-d2527b7d173b")</f>
        <v>https://www.stromypodkontrolou.cz/map/tree/d41bce85-5010-4276-b929-4760db78c679/b803d621-0a4d-41b9-a6dc-d2527b7d173b</v>
      </c>
      <c r="X37" s="40">
        <v>-761929.03752100002</v>
      </c>
      <c r="Y37" s="40">
        <v>-990823.62350900006</v>
      </c>
      <c r="Z37" s="40" t="str">
        <f>HYPERLINK("https://www.mapy.cz?st=search&amp;fr=50.52829564 14.05377578")</f>
        <v>https://www.mapy.cz?st=search&amp;fr=50.52829564 14.05377578</v>
      </c>
      <c r="AA37" s="45" t="s">
        <v>69</v>
      </c>
      <c r="AB37" s="44">
        <v>2</v>
      </c>
      <c r="AC37" s="81" t="s">
        <v>436</v>
      </c>
      <c r="AD37" s="111"/>
    </row>
    <row r="38" spans="1:30" ht="35.1" customHeight="1" thickTop="1" x14ac:dyDescent="0.2">
      <c r="A38" s="57" t="s">
        <v>26</v>
      </c>
      <c r="B38" s="52" t="s">
        <v>256</v>
      </c>
      <c r="C38" s="53">
        <v>10241</v>
      </c>
      <c r="D38" s="54" t="s">
        <v>257</v>
      </c>
      <c r="E38" s="55" t="s">
        <v>27</v>
      </c>
      <c r="F38" s="52" t="s">
        <v>28</v>
      </c>
      <c r="G38" s="53" t="s">
        <v>239</v>
      </c>
      <c r="H38" s="53"/>
      <c r="I38" s="53"/>
      <c r="J38" s="53"/>
      <c r="K38" s="53" t="s">
        <v>165</v>
      </c>
      <c r="L38" s="53" t="s">
        <v>106</v>
      </c>
      <c r="M38" s="53" t="s">
        <v>41</v>
      </c>
      <c r="N38" s="53" t="s">
        <v>33</v>
      </c>
      <c r="O38" s="53" t="s">
        <v>45</v>
      </c>
      <c r="P38" s="53" t="s">
        <v>35</v>
      </c>
      <c r="Q38" s="53" t="s">
        <v>36</v>
      </c>
      <c r="R38" s="53" t="s">
        <v>36</v>
      </c>
      <c r="S38" s="52" t="s">
        <v>258</v>
      </c>
      <c r="T38" s="52" t="s">
        <v>241</v>
      </c>
      <c r="U38" s="52" t="s">
        <v>242</v>
      </c>
      <c r="V38" s="56" t="s">
        <v>35</v>
      </c>
      <c r="W38" s="52" t="str">
        <f>HYPERLINK("https://www.stromypodkontrolou.cz/map/tree/d41bce85-5010-4276-b929-4760db78c679/cb2c574d-6959-437b-81f3-5ad87190ea26")</f>
        <v>https://www.stromypodkontrolou.cz/map/tree/d41bce85-5010-4276-b929-4760db78c679/cb2c574d-6959-437b-81f3-5ad87190ea26</v>
      </c>
      <c r="X38" s="52">
        <v>-762162.645578</v>
      </c>
      <c r="Y38" s="52">
        <v>-991025.56770599994</v>
      </c>
      <c r="Z38" s="52" t="str">
        <f>HYPERLINK("https://www.mapy.cz?st=search&amp;fr=50.52620177 14.05091621")</f>
        <v>https://www.mapy.cz?st=search&amp;fr=50.52620177 14.05091621</v>
      </c>
      <c r="AA38" s="31" t="s">
        <v>38</v>
      </c>
      <c r="AB38" s="56">
        <v>3.3</v>
      </c>
      <c r="AC38" s="82" t="s">
        <v>446</v>
      </c>
      <c r="AD38" s="115"/>
    </row>
    <row r="39" spans="1:30" ht="35.1" customHeight="1" x14ac:dyDescent="0.2">
      <c r="A39" s="19" t="s">
        <v>26</v>
      </c>
      <c r="B39" s="20" t="s">
        <v>256</v>
      </c>
      <c r="C39" s="21">
        <v>10246</v>
      </c>
      <c r="D39" s="22" t="s">
        <v>259</v>
      </c>
      <c r="E39" s="23" t="s">
        <v>27</v>
      </c>
      <c r="F39" s="20" t="s">
        <v>28</v>
      </c>
      <c r="G39" s="21" t="s">
        <v>72</v>
      </c>
      <c r="H39" s="21" t="s">
        <v>109</v>
      </c>
      <c r="I39" s="21"/>
      <c r="J39" s="21"/>
      <c r="K39" s="21" t="s">
        <v>119</v>
      </c>
      <c r="L39" s="21" t="s">
        <v>116</v>
      </c>
      <c r="M39" s="21" t="s">
        <v>107</v>
      </c>
      <c r="N39" s="21" t="s">
        <v>33</v>
      </c>
      <c r="O39" s="21" t="s">
        <v>45</v>
      </c>
      <c r="P39" s="21" t="s">
        <v>35</v>
      </c>
      <c r="Q39" s="21" t="s">
        <v>36</v>
      </c>
      <c r="R39" s="21" t="s">
        <v>33</v>
      </c>
      <c r="S39" s="20" t="s">
        <v>260</v>
      </c>
      <c r="T39" s="20" t="s">
        <v>241</v>
      </c>
      <c r="U39" s="20" t="s">
        <v>242</v>
      </c>
      <c r="V39" s="17" t="s">
        <v>35</v>
      </c>
      <c r="W39" s="20" t="str">
        <f>HYPERLINK("https://www.stromypodkontrolou.cz/map/tree/d41bce85-5010-4276-b929-4760db78c679/b2814b1b-9ec9-4911-9e6b-e7762feb1761")</f>
        <v>https://www.stromypodkontrolou.cz/map/tree/d41bce85-5010-4276-b929-4760db78c679/b2814b1b-9ec9-4911-9e6b-e7762feb1761</v>
      </c>
      <c r="X39" s="20">
        <v>-762179.62349000003</v>
      </c>
      <c r="Y39" s="20">
        <v>-991041.39452900004</v>
      </c>
      <c r="Z39" s="20" t="str">
        <f>HYPERLINK("https://www.mapy.cz?st=search&amp;fr=50.52603935 14.05071069")</f>
        <v>https://www.mapy.cz?st=search&amp;fr=50.52603935 14.05071069</v>
      </c>
      <c r="AA39" s="18" t="s">
        <v>38</v>
      </c>
      <c r="AB39" s="17">
        <v>1.1000000000000001</v>
      </c>
      <c r="AC39" s="80" t="s">
        <v>445</v>
      </c>
      <c r="AD39" s="110"/>
    </row>
    <row r="40" spans="1:30" ht="35.1" customHeight="1" x14ac:dyDescent="0.2">
      <c r="A40" s="19" t="s">
        <v>26</v>
      </c>
      <c r="B40" s="20" t="s">
        <v>256</v>
      </c>
      <c r="C40" s="21">
        <v>10251</v>
      </c>
      <c r="D40" s="22" t="s">
        <v>261</v>
      </c>
      <c r="E40" s="23" t="s">
        <v>27</v>
      </c>
      <c r="F40" s="20" t="s">
        <v>28</v>
      </c>
      <c r="G40" s="21" t="s">
        <v>123</v>
      </c>
      <c r="H40" s="21"/>
      <c r="I40" s="21"/>
      <c r="J40" s="21"/>
      <c r="K40" s="21" t="s">
        <v>171</v>
      </c>
      <c r="L40" s="21" t="s">
        <v>31</v>
      </c>
      <c r="M40" s="21" t="s">
        <v>49</v>
      </c>
      <c r="N40" s="21" t="s">
        <v>33</v>
      </c>
      <c r="O40" s="21" t="s">
        <v>45</v>
      </c>
      <c r="P40" s="21" t="s">
        <v>35</v>
      </c>
      <c r="Q40" s="21" t="s">
        <v>36</v>
      </c>
      <c r="R40" s="21" t="s">
        <v>36</v>
      </c>
      <c r="S40" s="20" t="s">
        <v>180</v>
      </c>
      <c r="T40" s="20" t="s">
        <v>241</v>
      </c>
      <c r="U40" s="20" t="s">
        <v>242</v>
      </c>
      <c r="V40" s="17" t="s">
        <v>35</v>
      </c>
      <c r="W40" s="20" t="str">
        <f>HYPERLINK("https://www.stromypodkontrolou.cz/map/tree/d41bce85-5010-4276-b929-4760db78c679/6fdb5ea4-5505-4449-884a-81766cbd7152")</f>
        <v>https://www.stromypodkontrolou.cz/map/tree/d41bce85-5010-4276-b929-4760db78c679/6fdb5ea4-5505-4449-884a-81766cbd7152</v>
      </c>
      <c r="X40" s="20">
        <v>-762209.63893699995</v>
      </c>
      <c r="Y40" s="20">
        <v>-991068.31770899997</v>
      </c>
      <c r="Z40" s="20" t="str">
        <f>HYPERLINK("https://www.mapy.cz?st=search&amp;fr=50.52576163 14.05034524")</f>
        <v>https://www.mapy.cz?st=search&amp;fr=50.52576163 14.05034524</v>
      </c>
      <c r="AA40" s="18" t="s">
        <v>38</v>
      </c>
      <c r="AB40" s="17">
        <v>4.7</v>
      </c>
      <c r="AC40" s="80" t="s">
        <v>448</v>
      </c>
      <c r="AD40" s="110"/>
    </row>
    <row r="41" spans="1:30" ht="35.1" customHeight="1" x14ac:dyDescent="0.2">
      <c r="A41" s="19" t="s">
        <v>26</v>
      </c>
      <c r="B41" s="20" t="s">
        <v>256</v>
      </c>
      <c r="C41" s="21">
        <v>10253</v>
      </c>
      <c r="D41" s="22" t="s">
        <v>262</v>
      </c>
      <c r="E41" s="23" t="s">
        <v>27</v>
      </c>
      <c r="F41" s="20" t="s">
        <v>28</v>
      </c>
      <c r="G41" s="21" t="s">
        <v>210</v>
      </c>
      <c r="H41" s="21"/>
      <c r="I41" s="21"/>
      <c r="J41" s="21"/>
      <c r="K41" s="21" t="s">
        <v>171</v>
      </c>
      <c r="L41" s="21" t="s">
        <v>31</v>
      </c>
      <c r="M41" s="21" t="s">
        <v>50</v>
      </c>
      <c r="N41" s="21" t="s">
        <v>33</v>
      </c>
      <c r="O41" s="21" t="s">
        <v>45</v>
      </c>
      <c r="P41" s="21" t="s">
        <v>35</v>
      </c>
      <c r="Q41" s="21" t="s">
        <v>36</v>
      </c>
      <c r="R41" s="21" t="s">
        <v>36</v>
      </c>
      <c r="S41" s="20" t="s">
        <v>263</v>
      </c>
      <c r="T41" s="20" t="s">
        <v>241</v>
      </c>
      <c r="U41" s="20" t="s">
        <v>242</v>
      </c>
      <c r="V41" s="17" t="s">
        <v>35</v>
      </c>
      <c r="W41" s="20" t="str">
        <f>HYPERLINK("https://www.stromypodkontrolou.cz/map/tree/d41bce85-5010-4276-b929-4760db78c679/7abe5029-f626-4790-9743-b3223ac83c49")</f>
        <v>https://www.stromypodkontrolou.cz/map/tree/d41bce85-5010-4276-b929-4760db78c679/7abe5029-f626-4790-9743-b3223ac83c49</v>
      </c>
      <c r="X41" s="20">
        <v>-762214.82982400001</v>
      </c>
      <c r="Y41" s="20">
        <v>-991073.73199799994</v>
      </c>
      <c r="Z41" s="20" t="str">
        <f>HYPERLINK("https://www.mapy.cz?st=search&amp;fr=50.52570685 14.05028354")</f>
        <v>https://www.mapy.cz?st=search&amp;fr=50.52570685 14.05028354</v>
      </c>
      <c r="AA41" s="18" t="s">
        <v>69</v>
      </c>
      <c r="AB41" s="17">
        <v>2.7</v>
      </c>
      <c r="AC41" s="83" t="s">
        <v>436</v>
      </c>
      <c r="AD41" s="110"/>
    </row>
    <row r="42" spans="1:30" ht="35.1" customHeight="1" x14ac:dyDescent="0.2">
      <c r="A42" s="19" t="s">
        <v>26</v>
      </c>
      <c r="B42" s="20" t="s">
        <v>256</v>
      </c>
      <c r="C42" s="21">
        <v>10255</v>
      </c>
      <c r="D42" s="22" t="s">
        <v>264</v>
      </c>
      <c r="E42" s="23" t="s">
        <v>27</v>
      </c>
      <c r="F42" s="20" t="s">
        <v>28</v>
      </c>
      <c r="G42" s="21" t="s">
        <v>136</v>
      </c>
      <c r="H42" s="21"/>
      <c r="I42" s="21"/>
      <c r="J42" s="21"/>
      <c r="K42" s="21" t="s">
        <v>58</v>
      </c>
      <c r="L42" s="21" t="s">
        <v>63</v>
      </c>
      <c r="M42" s="21" t="s">
        <v>51</v>
      </c>
      <c r="N42" s="21" t="s">
        <v>33</v>
      </c>
      <c r="O42" s="21" t="s">
        <v>45</v>
      </c>
      <c r="P42" s="21" t="s">
        <v>35</v>
      </c>
      <c r="Q42" s="21" t="s">
        <v>35</v>
      </c>
      <c r="R42" s="21" t="s">
        <v>36</v>
      </c>
      <c r="S42" s="20" t="s">
        <v>265</v>
      </c>
      <c r="T42" s="20" t="s">
        <v>241</v>
      </c>
      <c r="U42" s="20" t="s">
        <v>242</v>
      </c>
      <c r="V42" s="17" t="s">
        <v>35</v>
      </c>
      <c r="W42" s="20" t="str">
        <f>HYPERLINK("https://www.stromypodkontrolou.cz/map/tree/d41bce85-5010-4276-b929-4760db78c679/ce41032d-4594-44d3-8124-9b42f76f7ab2")</f>
        <v>https://www.stromypodkontrolou.cz/map/tree/d41bce85-5010-4276-b929-4760db78c679/ce41032d-4594-44d3-8124-9b42f76f7ab2</v>
      </c>
      <c r="X42" s="20">
        <v>-762216.86672699999</v>
      </c>
      <c r="Y42" s="20">
        <v>-991074.37542499998</v>
      </c>
      <c r="Z42" s="20" t="str">
        <f>HYPERLINK("https://www.mapy.cz?st=search&amp;fr=50.52569853 14.05025639")</f>
        <v>https://www.mapy.cz?st=search&amp;fr=50.52569853 14.05025639</v>
      </c>
      <c r="AA42" s="18" t="s">
        <v>69</v>
      </c>
      <c r="AB42" s="56">
        <v>0.9</v>
      </c>
      <c r="AC42" s="82" t="s">
        <v>429</v>
      </c>
      <c r="AD42" s="113"/>
    </row>
    <row r="43" spans="1:30" ht="35.1" customHeight="1" x14ac:dyDescent="0.2">
      <c r="A43" s="19" t="s">
        <v>26</v>
      </c>
      <c r="B43" s="20" t="s">
        <v>256</v>
      </c>
      <c r="C43" s="21">
        <v>10258</v>
      </c>
      <c r="D43" s="22" t="s">
        <v>266</v>
      </c>
      <c r="E43" s="23" t="s">
        <v>27</v>
      </c>
      <c r="F43" s="20" t="s">
        <v>28</v>
      </c>
      <c r="G43" s="21" t="s">
        <v>84</v>
      </c>
      <c r="H43" s="21"/>
      <c r="I43" s="21"/>
      <c r="J43" s="21"/>
      <c r="K43" s="21" t="s">
        <v>58</v>
      </c>
      <c r="L43" s="21" t="s">
        <v>31</v>
      </c>
      <c r="M43" s="21" t="s">
        <v>51</v>
      </c>
      <c r="N43" s="21" t="s">
        <v>36</v>
      </c>
      <c r="O43" s="21" t="s">
        <v>45</v>
      </c>
      <c r="P43" s="21" t="s">
        <v>35</v>
      </c>
      <c r="Q43" s="21" t="s">
        <v>35</v>
      </c>
      <c r="R43" s="21" t="s">
        <v>35</v>
      </c>
      <c r="S43" s="20" t="s">
        <v>265</v>
      </c>
      <c r="T43" s="20" t="s">
        <v>241</v>
      </c>
      <c r="U43" s="20" t="s">
        <v>242</v>
      </c>
      <c r="V43" s="17" t="s">
        <v>35</v>
      </c>
      <c r="W43" s="20" t="str">
        <f>HYPERLINK("https://www.stromypodkontrolou.cz/map/tree/d41bce85-5010-4276-b929-4760db78c679/cb099e2d-2a4b-4a12-ac03-34b7d17c0b1d")</f>
        <v>https://www.stromypodkontrolou.cz/map/tree/d41bce85-5010-4276-b929-4760db78c679/cb099e2d-2a4b-4a12-ac03-34b7d17c0b1d</v>
      </c>
      <c r="X43" s="20">
        <v>-762227.03750400001</v>
      </c>
      <c r="Y43" s="20">
        <v>-991083.89298899996</v>
      </c>
      <c r="Z43" s="20" t="str">
        <f>HYPERLINK("https://www.mapy.cz?st=search&amp;fr=50.52560091 14.05013334")</f>
        <v>https://www.mapy.cz?st=search&amp;fr=50.52560091 14.05013334</v>
      </c>
      <c r="AA43" s="18" t="s">
        <v>38</v>
      </c>
      <c r="AB43" s="17">
        <v>0.6</v>
      </c>
      <c r="AC43" s="80" t="s">
        <v>445</v>
      </c>
      <c r="AD43" s="110"/>
    </row>
    <row r="44" spans="1:30" ht="35.1" customHeight="1" x14ac:dyDescent="0.2">
      <c r="A44" s="19" t="s">
        <v>26</v>
      </c>
      <c r="B44" s="20" t="s">
        <v>256</v>
      </c>
      <c r="C44" s="21">
        <v>10259</v>
      </c>
      <c r="D44" s="22" t="s">
        <v>267</v>
      </c>
      <c r="E44" s="23" t="s">
        <v>27</v>
      </c>
      <c r="F44" s="20" t="s">
        <v>28</v>
      </c>
      <c r="G44" s="21" t="s">
        <v>222</v>
      </c>
      <c r="H44" s="21"/>
      <c r="I44" s="21"/>
      <c r="J44" s="21"/>
      <c r="K44" s="21" t="s">
        <v>58</v>
      </c>
      <c r="L44" s="21" t="s">
        <v>31</v>
      </c>
      <c r="M44" s="21" t="s">
        <v>51</v>
      </c>
      <c r="N44" s="21" t="s">
        <v>33</v>
      </c>
      <c r="O44" s="21" t="s">
        <v>45</v>
      </c>
      <c r="P44" s="21" t="s">
        <v>35</v>
      </c>
      <c r="Q44" s="21" t="s">
        <v>36</v>
      </c>
      <c r="R44" s="21" t="s">
        <v>36</v>
      </c>
      <c r="S44" s="20" t="s">
        <v>189</v>
      </c>
      <c r="T44" s="20" t="s">
        <v>241</v>
      </c>
      <c r="U44" s="20" t="s">
        <v>242</v>
      </c>
      <c r="V44" s="17" t="s">
        <v>35</v>
      </c>
      <c r="W44" s="20" t="str">
        <f>HYPERLINK("https://www.stromypodkontrolou.cz/map/tree/d41bce85-5010-4276-b929-4760db78c679/f645a1d9-a299-4069-9455-d02145be5689")</f>
        <v>https://www.stromypodkontrolou.cz/map/tree/d41bce85-5010-4276-b929-4760db78c679/f645a1d9-a299-4069-9455-d02145be5689</v>
      </c>
      <c r="X44" s="20">
        <v>-762228.53970800003</v>
      </c>
      <c r="Y44" s="20">
        <v>-991084.82822799997</v>
      </c>
      <c r="Z44" s="20" t="str">
        <f>HYPERLINK("https://www.mapy.cz?st=search&amp;fr=50.52559068 14.05011423")</f>
        <v>https://www.mapy.cz?st=search&amp;fr=50.52559068 14.05011423</v>
      </c>
      <c r="AA44" s="6" t="s">
        <v>452</v>
      </c>
      <c r="AB44" s="87">
        <v>1.1000000000000001</v>
      </c>
      <c r="AC44" s="82" t="s">
        <v>431</v>
      </c>
      <c r="AD44" s="110"/>
    </row>
    <row r="45" spans="1:30" ht="35.1" customHeight="1" x14ac:dyDescent="0.2">
      <c r="A45" s="19" t="s">
        <v>26</v>
      </c>
      <c r="B45" s="20" t="s">
        <v>256</v>
      </c>
      <c r="C45" s="21">
        <v>10260</v>
      </c>
      <c r="D45" s="22" t="s">
        <v>268</v>
      </c>
      <c r="E45" s="23" t="s">
        <v>27</v>
      </c>
      <c r="F45" s="20" t="s">
        <v>28</v>
      </c>
      <c r="G45" s="21" t="s">
        <v>216</v>
      </c>
      <c r="H45" s="21" t="s">
        <v>124</v>
      </c>
      <c r="I45" s="21" t="s">
        <v>124</v>
      </c>
      <c r="J45" s="21" t="s">
        <v>73</v>
      </c>
      <c r="K45" s="21" t="s">
        <v>179</v>
      </c>
      <c r="L45" s="21" t="s">
        <v>116</v>
      </c>
      <c r="M45" s="21" t="s">
        <v>96</v>
      </c>
      <c r="N45" s="21" t="s">
        <v>36</v>
      </c>
      <c r="O45" s="21" t="s">
        <v>45</v>
      </c>
      <c r="P45" s="21" t="s">
        <v>35</v>
      </c>
      <c r="Q45" s="21" t="s">
        <v>35</v>
      </c>
      <c r="R45" s="21" t="s">
        <v>36</v>
      </c>
      <c r="S45" s="20" t="s">
        <v>269</v>
      </c>
      <c r="T45" s="20" t="s">
        <v>241</v>
      </c>
      <c r="U45" s="20" t="s">
        <v>242</v>
      </c>
      <c r="V45" s="17" t="s">
        <v>36</v>
      </c>
      <c r="W45" s="20" t="str">
        <f>HYPERLINK("https://www.stromypodkontrolou.cz/map/tree/d41bce85-5010-4276-b929-4760db78c679/854243c4-ec95-47bc-aaa2-7d3d755743a1")</f>
        <v>https://www.stromypodkontrolou.cz/map/tree/d41bce85-5010-4276-b929-4760db78c679/854243c4-ec95-47bc-aaa2-7d3d755743a1</v>
      </c>
      <c r="X45" s="20">
        <v>-762231.03600700002</v>
      </c>
      <c r="Y45" s="20">
        <v>-991087.51359700004</v>
      </c>
      <c r="Z45" s="20" t="str">
        <f>HYPERLINK("https://www.mapy.cz?st=search&amp;fr=50.52556361 14.05008473")</f>
        <v>https://www.mapy.cz?st=search&amp;fr=50.52556361 14.05008473</v>
      </c>
      <c r="AA45" s="6" t="s">
        <v>420</v>
      </c>
      <c r="AB45" s="87">
        <v>3.3</v>
      </c>
      <c r="AC45" s="88" t="s">
        <v>434</v>
      </c>
      <c r="AD45" s="113"/>
    </row>
    <row r="46" spans="1:30" ht="35.1" customHeight="1" x14ac:dyDescent="0.2">
      <c r="A46" s="19" t="s">
        <v>26</v>
      </c>
      <c r="B46" s="20" t="s">
        <v>256</v>
      </c>
      <c r="C46" s="21">
        <v>10265</v>
      </c>
      <c r="D46" s="22" t="s">
        <v>270</v>
      </c>
      <c r="E46" s="23" t="s">
        <v>27</v>
      </c>
      <c r="F46" s="20" t="s">
        <v>28</v>
      </c>
      <c r="G46" s="21" t="s">
        <v>83</v>
      </c>
      <c r="H46" s="21" t="s">
        <v>66</v>
      </c>
      <c r="I46" s="21"/>
      <c r="J46" s="21"/>
      <c r="K46" s="21" t="s">
        <v>271</v>
      </c>
      <c r="L46" s="21" t="s">
        <v>63</v>
      </c>
      <c r="M46" s="21" t="s">
        <v>50</v>
      </c>
      <c r="N46" s="21" t="s">
        <v>36</v>
      </c>
      <c r="O46" s="21" t="s">
        <v>45</v>
      </c>
      <c r="P46" s="21" t="s">
        <v>35</v>
      </c>
      <c r="Q46" s="21" t="s">
        <v>35</v>
      </c>
      <c r="R46" s="21" t="s">
        <v>35</v>
      </c>
      <c r="S46" s="20" t="s">
        <v>192</v>
      </c>
      <c r="T46" s="20" t="s">
        <v>241</v>
      </c>
      <c r="U46" s="20" t="s">
        <v>242</v>
      </c>
      <c r="V46" s="17" t="s">
        <v>36</v>
      </c>
      <c r="W46" s="20" t="str">
        <f>HYPERLINK("https://www.stromypodkontrolou.cz/map/tree/d41bce85-5010-4276-b929-4760db78c679/1f92563c-ed05-4d23-b185-a56350a549db")</f>
        <v>https://www.stromypodkontrolou.cz/map/tree/d41bce85-5010-4276-b929-4760db78c679/1f92563c-ed05-4d23-b185-a56350a549db</v>
      </c>
      <c r="X46" s="20">
        <v>-762242.99626699998</v>
      </c>
      <c r="Y46" s="20">
        <v>-991095.43476500001</v>
      </c>
      <c r="Z46" s="20" t="str">
        <f>HYPERLINK("https://www.mapy.cz?st=search&amp;fr=50.52547793 14.04993352")</f>
        <v>https://www.mapy.cz?st=search&amp;fr=50.52547793 14.04993352</v>
      </c>
      <c r="AA46" s="18" t="s">
        <v>38</v>
      </c>
      <c r="AB46" s="56">
        <v>0.2</v>
      </c>
      <c r="AC46" s="82" t="s">
        <v>446</v>
      </c>
      <c r="AD46" s="110"/>
    </row>
    <row r="47" spans="1:30" ht="35.1" customHeight="1" thickBot="1" x14ac:dyDescent="0.25">
      <c r="A47" s="19" t="s">
        <v>26</v>
      </c>
      <c r="B47" s="20" t="s">
        <v>256</v>
      </c>
      <c r="C47" s="21">
        <v>10270</v>
      </c>
      <c r="D47" s="22" t="s">
        <v>272</v>
      </c>
      <c r="E47" s="23" t="s">
        <v>27</v>
      </c>
      <c r="F47" s="20" t="s">
        <v>28</v>
      </c>
      <c r="G47" s="21" t="s">
        <v>67</v>
      </c>
      <c r="H47" s="21" t="s">
        <v>72</v>
      </c>
      <c r="I47" s="21" t="s">
        <v>164</v>
      </c>
      <c r="J47" s="21" t="s">
        <v>79</v>
      </c>
      <c r="K47" s="21" t="s">
        <v>171</v>
      </c>
      <c r="L47" s="21" t="s">
        <v>53</v>
      </c>
      <c r="M47" s="21" t="s">
        <v>49</v>
      </c>
      <c r="N47" s="21" t="s">
        <v>33</v>
      </c>
      <c r="O47" s="21" t="s">
        <v>34</v>
      </c>
      <c r="P47" s="21" t="s">
        <v>35</v>
      </c>
      <c r="Q47" s="21" t="s">
        <v>33</v>
      </c>
      <c r="R47" s="21" t="s">
        <v>33</v>
      </c>
      <c r="S47" s="20" t="s">
        <v>59</v>
      </c>
      <c r="T47" s="20" t="s">
        <v>241</v>
      </c>
      <c r="U47" s="20" t="s">
        <v>242</v>
      </c>
      <c r="V47" s="17" t="s">
        <v>46</v>
      </c>
      <c r="W47" s="20" t="str">
        <f>HYPERLINK("https://www.stromypodkontrolou.cz/map/tree/d41bce85-5010-4276-b929-4760db78c679/818895c9-3bc5-4b40-a552-f93aae0d8c1c")</f>
        <v>https://www.stromypodkontrolou.cz/map/tree/d41bce85-5010-4276-b929-4760db78c679/818895c9-3bc5-4b40-a552-f93aae0d8c1c</v>
      </c>
      <c r="X47" s="20">
        <v>-762255.46026600001</v>
      </c>
      <c r="Y47" s="20">
        <v>-991104.36175899999</v>
      </c>
      <c r="Z47" s="20" t="str">
        <f>HYPERLINK("https://www.mapy.cz?st=search&amp;fr=50.52538265 14.04977728")</f>
        <v>https://www.mapy.cz?st=search&amp;fr=50.52538265 14.04977728</v>
      </c>
      <c r="AA47" s="18" t="s">
        <v>69</v>
      </c>
      <c r="AB47" s="44">
        <v>7.2</v>
      </c>
      <c r="AC47" s="81" t="s">
        <v>427</v>
      </c>
      <c r="AD47" s="111"/>
    </row>
    <row r="48" spans="1:30" ht="35.1" customHeight="1" thickTop="1" x14ac:dyDescent="0.2">
      <c r="A48" s="24" t="s">
        <v>26</v>
      </c>
      <c r="B48" s="25" t="s">
        <v>273</v>
      </c>
      <c r="C48" s="26">
        <v>10286</v>
      </c>
      <c r="D48" s="27" t="s">
        <v>274</v>
      </c>
      <c r="E48" s="28" t="s">
        <v>27</v>
      </c>
      <c r="F48" s="25" t="s">
        <v>28</v>
      </c>
      <c r="G48" s="26" t="s">
        <v>76</v>
      </c>
      <c r="H48" s="26"/>
      <c r="I48" s="26"/>
      <c r="J48" s="26"/>
      <c r="K48" s="26" t="s">
        <v>81</v>
      </c>
      <c r="L48" s="26" t="s">
        <v>106</v>
      </c>
      <c r="M48" s="26" t="s">
        <v>44</v>
      </c>
      <c r="N48" s="26" t="s">
        <v>36</v>
      </c>
      <c r="O48" s="26" t="s">
        <v>45</v>
      </c>
      <c r="P48" s="26" t="s">
        <v>35</v>
      </c>
      <c r="Q48" s="26" t="s">
        <v>36</v>
      </c>
      <c r="R48" s="26" t="s">
        <v>36</v>
      </c>
      <c r="S48" s="25" t="s">
        <v>37</v>
      </c>
      <c r="T48" s="25" t="s">
        <v>275</v>
      </c>
      <c r="U48" s="25" t="s">
        <v>276</v>
      </c>
      <c r="V48" s="29" t="s">
        <v>35</v>
      </c>
      <c r="W48" s="25" t="str">
        <f>HYPERLINK("https://www.stromypodkontrolou.cz/map/tree/d41bce85-5010-4276-b929-4760db78c679/20d7ed3f-6129-4679-a380-178b12f1a9e1")</f>
        <v>https://www.stromypodkontrolou.cz/map/tree/d41bce85-5010-4276-b929-4760db78c679/20d7ed3f-6129-4679-a380-178b12f1a9e1</v>
      </c>
      <c r="X48" s="25">
        <v>-762336.67117500002</v>
      </c>
      <c r="Y48" s="25">
        <v>-991209.19201200001</v>
      </c>
      <c r="Z48" s="25" t="str">
        <f>HYPERLINK("https://www.mapy.cz?st=search&amp;fr=50.52434653 14.04885225")</f>
        <v>https://www.mapy.cz?st=search&amp;fr=50.52434653 14.04885225</v>
      </c>
      <c r="AA48" s="30" t="s">
        <v>38</v>
      </c>
      <c r="AB48" s="56">
        <v>0.16</v>
      </c>
      <c r="AC48" s="82" t="s">
        <v>447</v>
      </c>
      <c r="AD48" s="112"/>
    </row>
    <row r="49" spans="1:30" ht="35.1" customHeight="1" x14ac:dyDescent="0.2">
      <c r="A49" s="51" t="s">
        <v>26</v>
      </c>
      <c r="B49" s="58" t="s">
        <v>277</v>
      </c>
      <c r="C49" s="59">
        <v>10274</v>
      </c>
      <c r="D49" s="60" t="s">
        <v>278</v>
      </c>
      <c r="E49" s="61" t="s">
        <v>27</v>
      </c>
      <c r="F49" s="58" t="s">
        <v>28</v>
      </c>
      <c r="G49" s="59" t="s">
        <v>55</v>
      </c>
      <c r="H49" s="59" t="s">
        <v>73</v>
      </c>
      <c r="I49" s="59" t="s">
        <v>91</v>
      </c>
      <c r="J49" s="59"/>
      <c r="K49" s="59" t="s">
        <v>75</v>
      </c>
      <c r="L49" s="59" t="s">
        <v>63</v>
      </c>
      <c r="M49" s="59" t="s">
        <v>107</v>
      </c>
      <c r="N49" s="59" t="s">
        <v>33</v>
      </c>
      <c r="O49" s="59" t="s">
        <v>45</v>
      </c>
      <c r="P49" s="59" t="s">
        <v>35</v>
      </c>
      <c r="Q49" s="59" t="s">
        <v>36</v>
      </c>
      <c r="R49" s="59" t="s">
        <v>36</v>
      </c>
      <c r="S49" s="58" t="s">
        <v>59</v>
      </c>
      <c r="T49" s="58" t="s">
        <v>275</v>
      </c>
      <c r="U49" s="58" t="s">
        <v>279</v>
      </c>
      <c r="V49" s="56" t="s">
        <v>35</v>
      </c>
      <c r="W49" s="58" t="str">
        <f>HYPERLINK("https://www.stromypodkontrolou.cz/map/tree/d41bce85-5010-4276-b929-4760db78c679/a169cdb6-63a7-49a7-b51b-de2ab1e4a1d1")</f>
        <v>https://www.stromypodkontrolou.cz/map/tree/d41bce85-5010-4276-b929-4760db78c679/a169cdb6-63a7-49a7-b51b-de2ab1e4a1d1</v>
      </c>
      <c r="X49" s="58">
        <v>-762436.66270400002</v>
      </c>
      <c r="Y49" s="58">
        <v>-991441.24987900001</v>
      </c>
      <c r="Z49" s="58" t="str">
        <f>HYPERLINK("https://www.mapy.cz?st=search&amp;fr=50.52215421 14.04791851")</f>
        <v>https://www.mapy.cz?st=search&amp;fr=50.52215421 14.04791851</v>
      </c>
      <c r="AA49" s="31" t="s">
        <v>38</v>
      </c>
      <c r="AB49" s="56">
        <v>1.4</v>
      </c>
      <c r="AC49" s="82" t="s">
        <v>446</v>
      </c>
      <c r="AD49" s="110"/>
    </row>
    <row r="50" spans="1:30" ht="35.1" customHeight="1" x14ac:dyDescent="0.2">
      <c r="A50" s="12" t="s">
        <v>26</v>
      </c>
      <c r="B50" s="13" t="s">
        <v>277</v>
      </c>
      <c r="C50" s="14">
        <v>10276</v>
      </c>
      <c r="D50" s="15" t="s">
        <v>280</v>
      </c>
      <c r="E50" s="16" t="s">
        <v>99</v>
      </c>
      <c r="F50" s="13" t="s">
        <v>100</v>
      </c>
      <c r="G50" s="14" t="s">
        <v>74</v>
      </c>
      <c r="H50" s="14"/>
      <c r="I50" s="14"/>
      <c r="J50" s="14"/>
      <c r="K50" s="14" t="s">
        <v>92</v>
      </c>
      <c r="L50" s="14" t="s">
        <v>31</v>
      </c>
      <c r="M50" s="14" t="s">
        <v>51</v>
      </c>
      <c r="N50" s="14" t="s">
        <v>36</v>
      </c>
      <c r="O50" s="14" t="s">
        <v>45</v>
      </c>
      <c r="P50" s="14" t="s">
        <v>35</v>
      </c>
      <c r="Q50" s="14" t="s">
        <v>35</v>
      </c>
      <c r="R50" s="14" t="s">
        <v>36</v>
      </c>
      <c r="S50" s="13" t="s">
        <v>281</v>
      </c>
      <c r="T50" s="13" t="s">
        <v>275</v>
      </c>
      <c r="U50" s="13" t="s">
        <v>282</v>
      </c>
      <c r="V50" s="17" t="s">
        <v>35</v>
      </c>
      <c r="W50" s="13" t="str">
        <f>HYPERLINK("https://www.stromypodkontrolou.cz/map/tree/d41bce85-5010-4276-b929-4760db78c679/139fa556-636b-42af-8a62-6d6c8d95b075")</f>
        <v>https://www.stromypodkontrolou.cz/map/tree/d41bce85-5010-4276-b929-4760db78c679/139fa556-636b-42af-8a62-6d6c8d95b075</v>
      </c>
      <c r="X50" s="13">
        <v>-762422.52708100004</v>
      </c>
      <c r="Y50" s="13">
        <v>-991376.85264399997</v>
      </c>
      <c r="Z50" s="13" t="str">
        <f>HYPERLINK("https://www.mapy.cz?st=search&amp;fr=50.52274531 14.04798757")</f>
        <v>https://www.mapy.cz?st=search&amp;fr=50.52274531 14.04798757</v>
      </c>
      <c r="AA50" s="18" t="s">
        <v>38</v>
      </c>
      <c r="AB50" s="17">
        <v>0.2</v>
      </c>
      <c r="AC50" s="80" t="s">
        <v>447</v>
      </c>
      <c r="AD50" s="113"/>
    </row>
    <row r="51" spans="1:30" ht="35.1" customHeight="1" thickBot="1" x14ac:dyDescent="0.25">
      <c r="A51" s="46" t="s">
        <v>26</v>
      </c>
      <c r="B51" s="47" t="s">
        <v>277</v>
      </c>
      <c r="C51" s="48">
        <v>10283</v>
      </c>
      <c r="D51" s="49" t="s">
        <v>284</v>
      </c>
      <c r="E51" s="50" t="s">
        <v>27</v>
      </c>
      <c r="F51" s="47" t="s">
        <v>28</v>
      </c>
      <c r="G51" s="48" t="s">
        <v>125</v>
      </c>
      <c r="H51" s="48"/>
      <c r="I51" s="48"/>
      <c r="J51" s="48"/>
      <c r="K51" s="48" t="s">
        <v>75</v>
      </c>
      <c r="L51" s="48" t="s">
        <v>116</v>
      </c>
      <c r="M51" s="48" t="s">
        <v>32</v>
      </c>
      <c r="N51" s="48" t="s">
        <v>33</v>
      </c>
      <c r="O51" s="48" t="s">
        <v>34</v>
      </c>
      <c r="P51" s="48" t="s">
        <v>35</v>
      </c>
      <c r="Q51" s="48" t="s">
        <v>33</v>
      </c>
      <c r="R51" s="48" t="s">
        <v>33</v>
      </c>
      <c r="S51" s="47" t="s">
        <v>223</v>
      </c>
      <c r="T51" s="47" t="s">
        <v>275</v>
      </c>
      <c r="U51" s="47" t="s">
        <v>283</v>
      </c>
      <c r="V51" s="44" t="s">
        <v>46</v>
      </c>
      <c r="W51" s="47" t="str">
        <f>HYPERLINK("https://www.stromypodkontrolou.cz/map/tree/d41bce85-5010-4276-b929-4760db78c679/e6c70334-1134-4561-9459-3896c951447a")</f>
        <v>https://www.stromypodkontrolou.cz/map/tree/d41bce85-5010-4276-b929-4760db78c679/e6c70334-1134-4561-9459-3896c951447a</v>
      </c>
      <c r="X51" s="47">
        <v>-762391.09764000005</v>
      </c>
      <c r="Y51" s="47">
        <v>-991294.08739999996</v>
      </c>
      <c r="Z51" s="47" t="str">
        <f>HYPERLINK("https://www.mapy.cz?st=search&amp;fr=50.52352184 14.04826149")</f>
        <v>https://www.mapy.cz?st=search&amp;fr=50.52352184 14.04826149</v>
      </c>
      <c r="AA51" s="45" t="s">
        <v>69</v>
      </c>
      <c r="AB51" s="44">
        <v>0.6</v>
      </c>
      <c r="AC51" s="91" t="s">
        <v>429</v>
      </c>
      <c r="AD51" s="111"/>
    </row>
    <row r="52" spans="1:30" ht="35.1" customHeight="1" thickTop="1" x14ac:dyDescent="0.2">
      <c r="A52" s="19" t="s">
        <v>140</v>
      </c>
      <c r="B52" s="20" t="s">
        <v>285</v>
      </c>
      <c r="C52" s="21">
        <v>16125</v>
      </c>
      <c r="D52" s="22" t="s">
        <v>289</v>
      </c>
      <c r="E52" s="23" t="s">
        <v>39</v>
      </c>
      <c r="F52" s="20" t="s">
        <v>40</v>
      </c>
      <c r="G52" s="21" t="s">
        <v>290</v>
      </c>
      <c r="H52" s="21"/>
      <c r="I52" s="21"/>
      <c r="J52" s="21"/>
      <c r="K52" s="21" t="s">
        <v>214</v>
      </c>
      <c r="L52" s="21" t="s">
        <v>115</v>
      </c>
      <c r="M52" s="21" t="s">
        <v>97</v>
      </c>
      <c r="N52" s="21" t="s">
        <v>33</v>
      </c>
      <c r="O52" s="21" t="s">
        <v>45</v>
      </c>
      <c r="P52" s="21" t="s">
        <v>35</v>
      </c>
      <c r="Q52" s="21" t="s">
        <v>36</v>
      </c>
      <c r="R52" s="21" t="s">
        <v>33</v>
      </c>
      <c r="S52" s="20" t="s">
        <v>291</v>
      </c>
      <c r="T52" s="20" t="s">
        <v>275</v>
      </c>
      <c r="U52" s="20" t="s">
        <v>288</v>
      </c>
      <c r="V52" s="17" t="s">
        <v>35</v>
      </c>
      <c r="W52" s="20" t="str">
        <f>HYPERLINK("https://www.stromypodkontrolou.cz/map/tree/d41bce85-5010-4276-b929-4760db78c679/92f9be5f-b4a9-4d87-8669-e5e89bacc706")</f>
        <v>https://www.stromypodkontrolou.cz/map/tree/d41bce85-5010-4276-b929-4760db78c679/92f9be5f-b4a9-4d87-8669-e5e89bacc706</v>
      </c>
      <c r="X52" s="20">
        <v>-760716.77258800005</v>
      </c>
      <c r="Y52" s="20">
        <v>-992419.38267299999</v>
      </c>
      <c r="Z52" s="20" t="str">
        <f>HYPERLINK("https://www.mapy.cz?st=search&amp;fr=50.51562993 14.07387424")</f>
        <v>https://www.mapy.cz?st=search&amp;fr=50.51562993 14.07387424</v>
      </c>
      <c r="AA52" s="18" t="s">
        <v>48</v>
      </c>
      <c r="AB52" s="56">
        <v>3.7</v>
      </c>
      <c r="AC52" s="82" t="s">
        <v>432</v>
      </c>
      <c r="AD52" s="115"/>
    </row>
    <row r="53" spans="1:30" ht="35.1" customHeight="1" x14ac:dyDescent="0.2">
      <c r="A53" s="19" t="s">
        <v>140</v>
      </c>
      <c r="B53" s="20" t="s">
        <v>285</v>
      </c>
      <c r="C53" s="21">
        <v>16129</v>
      </c>
      <c r="D53" s="22" t="s">
        <v>292</v>
      </c>
      <c r="E53" s="23" t="s">
        <v>39</v>
      </c>
      <c r="F53" s="20" t="s">
        <v>40</v>
      </c>
      <c r="G53" s="21" t="s">
        <v>217</v>
      </c>
      <c r="H53" s="21"/>
      <c r="I53" s="21"/>
      <c r="J53" s="21"/>
      <c r="K53" s="21" t="s">
        <v>77</v>
      </c>
      <c r="L53" s="21" t="s">
        <v>31</v>
      </c>
      <c r="M53" s="21" t="s">
        <v>52</v>
      </c>
      <c r="N53" s="21" t="s">
        <v>33</v>
      </c>
      <c r="O53" s="21" t="s">
        <v>34</v>
      </c>
      <c r="P53" s="21" t="s">
        <v>35</v>
      </c>
      <c r="Q53" s="21" t="s">
        <v>33</v>
      </c>
      <c r="R53" s="21" t="s">
        <v>33</v>
      </c>
      <c r="S53" s="20" t="s">
        <v>293</v>
      </c>
      <c r="T53" s="20" t="s">
        <v>275</v>
      </c>
      <c r="U53" s="20" t="s">
        <v>288</v>
      </c>
      <c r="V53" s="17" t="s">
        <v>46</v>
      </c>
      <c r="W53" s="20" t="str">
        <f>HYPERLINK("https://www.stromypodkontrolou.cz/map/tree/d41bce85-5010-4276-b929-4760db78c679/4c6aa0f8-331b-4989-a864-993adc31d24d")</f>
        <v>https://www.stromypodkontrolou.cz/map/tree/d41bce85-5010-4276-b929-4760db78c679/4c6aa0f8-331b-4989-a864-993adc31d24d</v>
      </c>
      <c r="X53" s="20">
        <v>-760691.83770899998</v>
      </c>
      <c r="Y53" s="20">
        <v>-992417.32669500005</v>
      </c>
      <c r="Z53" s="20" t="str">
        <f>HYPERLINK("https://www.mapy.cz?st=search&amp;fr=50.51567982 14.07421824")</f>
        <v>https://www.mapy.cz?st=search&amp;fr=50.51567982 14.07421824</v>
      </c>
      <c r="AA53" s="18" t="s">
        <v>38</v>
      </c>
      <c r="AB53" s="56">
        <v>1.5</v>
      </c>
      <c r="AC53" s="82" t="s">
        <v>446</v>
      </c>
      <c r="AD53" s="110"/>
    </row>
    <row r="54" spans="1:30" ht="35.1" customHeight="1" x14ac:dyDescent="0.2">
      <c r="A54" s="19" t="s">
        <v>140</v>
      </c>
      <c r="B54" s="20" t="s">
        <v>285</v>
      </c>
      <c r="C54" s="21">
        <v>16133</v>
      </c>
      <c r="D54" s="22" t="s">
        <v>294</v>
      </c>
      <c r="E54" s="23" t="s">
        <v>39</v>
      </c>
      <c r="F54" s="20" t="s">
        <v>40</v>
      </c>
      <c r="G54" s="21" t="s">
        <v>56</v>
      </c>
      <c r="H54" s="21"/>
      <c r="I54" s="21"/>
      <c r="J54" s="21"/>
      <c r="K54" s="21" t="s">
        <v>75</v>
      </c>
      <c r="L54" s="21" t="s">
        <v>42</v>
      </c>
      <c r="M54" s="21" t="s">
        <v>52</v>
      </c>
      <c r="N54" s="21" t="s">
        <v>33</v>
      </c>
      <c r="O54" s="21" t="s">
        <v>34</v>
      </c>
      <c r="P54" s="21" t="s">
        <v>35</v>
      </c>
      <c r="Q54" s="21" t="s">
        <v>36</v>
      </c>
      <c r="R54" s="21" t="s">
        <v>33</v>
      </c>
      <c r="S54" s="20" t="s">
        <v>295</v>
      </c>
      <c r="T54" s="20" t="s">
        <v>275</v>
      </c>
      <c r="U54" s="20" t="s">
        <v>288</v>
      </c>
      <c r="V54" s="17" t="s">
        <v>46</v>
      </c>
      <c r="W54" s="20" t="str">
        <f>HYPERLINK("https://www.stromypodkontrolou.cz/map/tree/d41bce85-5010-4276-b929-4760db78c679/447dc8a3-f8f9-4218-911a-2ea8c614342d")</f>
        <v>https://www.stromypodkontrolou.cz/map/tree/d41bce85-5010-4276-b929-4760db78c679/447dc8a3-f8f9-4218-911a-2ea8c614342d</v>
      </c>
      <c r="X54" s="20">
        <v>-760670.94444300001</v>
      </c>
      <c r="Y54" s="20">
        <v>-992426.623746</v>
      </c>
      <c r="Z54" s="20" t="str">
        <f>HYPERLINK("https://www.mapy.cz?st=search&amp;fr=50.51562354 14.07452837")</f>
        <v>https://www.mapy.cz?st=search&amp;fr=50.51562354 14.07452837</v>
      </c>
      <c r="AA54" s="18" t="s">
        <v>38</v>
      </c>
      <c r="AB54" s="56">
        <v>1.4</v>
      </c>
      <c r="AC54" s="82" t="s">
        <v>446</v>
      </c>
      <c r="AD54" s="110"/>
    </row>
    <row r="55" spans="1:30" ht="35.1" customHeight="1" x14ac:dyDescent="0.2">
      <c r="A55" s="19" t="s">
        <v>140</v>
      </c>
      <c r="B55" s="20" t="s">
        <v>285</v>
      </c>
      <c r="C55" s="21">
        <v>16135</v>
      </c>
      <c r="D55" s="22" t="s">
        <v>296</v>
      </c>
      <c r="E55" s="23" t="s">
        <v>39</v>
      </c>
      <c r="F55" s="20" t="s">
        <v>40</v>
      </c>
      <c r="G55" s="21" t="s">
        <v>56</v>
      </c>
      <c r="H55" s="21"/>
      <c r="I55" s="21"/>
      <c r="J55" s="21"/>
      <c r="K55" s="21" t="s">
        <v>75</v>
      </c>
      <c r="L55" s="21" t="s">
        <v>78</v>
      </c>
      <c r="M55" s="21" t="s">
        <v>97</v>
      </c>
      <c r="N55" s="21" t="s">
        <v>33</v>
      </c>
      <c r="O55" s="21" t="s">
        <v>34</v>
      </c>
      <c r="P55" s="21" t="s">
        <v>33</v>
      </c>
      <c r="Q55" s="21" t="s">
        <v>36</v>
      </c>
      <c r="R55" s="21" t="s">
        <v>33</v>
      </c>
      <c r="S55" s="20" t="s">
        <v>154</v>
      </c>
      <c r="T55" s="20" t="s">
        <v>275</v>
      </c>
      <c r="U55" s="20" t="s">
        <v>288</v>
      </c>
      <c r="V55" s="17" t="s">
        <v>46</v>
      </c>
      <c r="W55" s="20" t="str">
        <f>HYPERLINK("https://www.stromypodkontrolou.cz/map/tree/d41bce85-5010-4276-b929-4760db78c679/118d03dd-7c2d-4f3e-83af-bde29cc5da24")</f>
        <v>https://www.stromypodkontrolou.cz/map/tree/d41bce85-5010-4276-b929-4760db78c679/118d03dd-7c2d-4f3e-83af-bde29cc5da24</v>
      </c>
      <c r="X55" s="20">
        <v>-760665.55917799997</v>
      </c>
      <c r="Y55" s="20">
        <v>-992428.61175599997</v>
      </c>
      <c r="Z55" s="20" t="str">
        <f>HYPERLINK("https://www.mapy.cz?st=search&amp;fr=50.51561266 14.07460749")</f>
        <v>https://www.mapy.cz?st=search&amp;fr=50.51561266 14.07460749</v>
      </c>
      <c r="AA55" s="18" t="s">
        <v>38</v>
      </c>
      <c r="AB55" s="56">
        <v>1.4</v>
      </c>
      <c r="AC55" s="82" t="s">
        <v>446</v>
      </c>
      <c r="AD55" s="110"/>
    </row>
    <row r="56" spans="1:30" ht="35.1" customHeight="1" x14ac:dyDescent="0.2">
      <c r="A56" s="19" t="s">
        <v>140</v>
      </c>
      <c r="B56" s="20" t="s">
        <v>285</v>
      </c>
      <c r="C56" s="21">
        <v>16137</v>
      </c>
      <c r="D56" s="22" t="s">
        <v>297</v>
      </c>
      <c r="E56" s="23" t="s">
        <v>39</v>
      </c>
      <c r="F56" s="20" t="s">
        <v>40</v>
      </c>
      <c r="G56" s="21" t="s">
        <v>213</v>
      </c>
      <c r="H56" s="21"/>
      <c r="I56" s="21"/>
      <c r="J56" s="21"/>
      <c r="K56" s="21" t="s">
        <v>75</v>
      </c>
      <c r="L56" s="21" t="s">
        <v>31</v>
      </c>
      <c r="M56" s="21" t="s">
        <v>52</v>
      </c>
      <c r="N56" s="21" t="s">
        <v>33</v>
      </c>
      <c r="O56" s="21" t="s">
        <v>34</v>
      </c>
      <c r="P56" s="21" t="s">
        <v>36</v>
      </c>
      <c r="Q56" s="21" t="s">
        <v>36</v>
      </c>
      <c r="R56" s="21" t="s">
        <v>33</v>
      </c>
      <c r="S56" s="20" t="s">
        <v>298</v>
      </c>
      <c r="T56" s="20" t="s">
        <v>275</v>
      </c>
      <c r="U56" s="20" t="s">
        <v>288</v>
      </c>
      <c r="V56" s="17" t="s">
        <v>46</v>
      </c>
      <c r="W56" s="20" t="str">
        <f>HYPERLINK("https://www.stromypodkontrolou.cz/map/tree/d41bce85-5010-4276-b929-4760db78c679/c91dbcfb-0329-4072-9816-c8c30cf423e2")</f>
        <v>https://www.stromypodkontrolou.cz/map/tree/d41bce85-5010-4276-b929-4760db78c679/c91dbcfb-0329-4072-9816-c8c30cf423e2</v>
      </c>
      <c r="X56" s="20">
        <v>-760662.35699600005</v>
      </c>
      <c r="Y56" s="20">
        <v>-992429.73815899994</v>
      </c>
      <c r="Z56" s="20" t="str">
        <f>HYPERLINK("https://www.mapy.cz?st=search&amp;fr=50.51560670 14.07465443")</f>
        <v>https://www.mapy.cz?st=search&amp;fr=50.51560670 14.07465443</v>
      </c>
      <c r="AA56" s="18" t="s">
        <v>38</v>
      </c>
      <c r="AB56" s="17">
        <v>3.1</v>
      </c>
      <c r="AC56" s="80" t="s">
        <v>448</v>
      </c>
      <c r="AD56" s="110"/>
    </row>
    <row r="57" spans="1:30" ht="35.1" customHeight="1" x14ac:dyDescent="0.2">
      <c r="A57" s="19" t="s">
        <v>140</v>
      </c>
      <c r="B57" s="20" t="s">
        <v>285</v>
      </c>
      <c r="C57" s="21">
        <v>16139</v>
      </c>
      <c r="D57" s="22" t="s">
        <v>299</v>
      </c>
      <c r="E57" s="23" t="s">
        <v>39</v>
      </c>
      <c r="F57" s="20" t="s">
        <v>40</v>
      </c>
      <c r="G57" s="21" t="s">
        <v>67</v>
      </c>
      <c r="H57" s="21"/>
      <c r="I57" s="21"/>
      <c r="J57" s="21"/>
      <c r="K57" s="21" t="s">
        <v>42</v>
      </c>
      <c r="L57" s="21" t="s">
        <v>31</v>
      </c>
      <c r="M57" s="21" t="s">
        <v>44</v>
      </c>
      <c r="N57" s="21" t="s">
        <v>33</v>
      </c>
      <c r="O57" s="21" t="s">
        <v>34</v>
      </c>
      <c r="P57" s="21" t="s">
        <v>33</v>
      </c>
      <c r="Q57" s="21" t="s">
        <v>35</v>
      </c>
      <c r="R57" s="21" t="s">
        <v>33</v>
      </c>
      <c r="S57" s="20" t="s">
        <v>161</v>
      </c>
      <c r="T57" s="20" t="s">
        <v>275</v>
      </c>
      <c r="U57" s="20" t="s">
        <v>288</v>
      </c>
      <c r="V57" s="17" t="s">
        <v>35</v>
      </c>
      <c r="W57" s="20" t="str">
        <f>HYPERLINK("https://www.stromypodkontrolou.cz/map/tree/d41bce85-5010-4276-b929-4760db78c679/fa4380c9-a8a8-4651-a46a-0578fdeeb8c5")</f>
        <v>https://www.stromypodkontrolou.cz/map/tree/d41bce85-5010-4276-b929-4760db78c679/fa4380c9-a8a8-4651-a46a-0578fdeeb8c5</v>
      </c>
      <c r="X57" s="20">
        <v>-760658.273468</v>
      </c>
      <c r="Y57" s="20">
        <v>-992431.25346899999</v>
      </c>
      <c r="Z57" s="20" t="str">
        <f>HYPERLINK("https://www.mapy.cz?st=search&amp;fr=50.51559838 14.07471445")</f>
        <v>https://www.mapy.cz?st=search&amp;fr=50.51559838 14.07471445</v>
      </c>
      <c r="AA57" s="18" t="s">
        <v>48</v>
      </c>
      <c r="AB57" s="56">
        <v>0.5</v>
      </c>
      <c r="AC57" s="82" t="s">
        <v>426</v>
      </c>
      <c r="AD57" s="110"/>
    </row>
    <row r="58" spans="1:30" ht="35.1" customHeight="1" x14ac:dyDescent="0.2">
      <c r="A58" s="19" t="s">
        <v>140</v>
      </c>
      <c r="B58" s="20" t="s">
        <v>285</v>
      </c>
      <c r="C58" s="21">
        <v>16140</v>
      </c>
      <c r="D58" s="22" t="s">
        <v>300</v>
      </c>
      <c r="E58" s="23" t="s">
        <v>39</v>
      </c>
      <c r="F58" s="20" t="s">
        <v>40</v>
      </c>
      <c r="G58" s="21" t="s">
        <v>132</v>
      </c>
      <c r="H58" s="21"/>
      <c r="I58" s="21"/>
      <c r="J58" s="21"/>
      <c r="K58" s="21" t="s">
        <v>102</v>
      </c>
      <c r="L58" s="21" t="s">
        <v>31</v>
      </c>
      <c r="M58" s="21" t="s">
        <v>44</v>
      </c>
      <c r="N58" s="21" t="s">
        <v>33</v>
      </c>
      <c r="O58" s="21" t="s">
        <v>45</v>
      </c>
      <c r="P58" s="21" t="s">
        <v>35</v>
      </c>
      <c r="Q58" s="21" t="s">
        <v>35</v>
      </c>
      <c r="R58" s="21" t="s">
        <v>36</v>
      </c>
      <c r="S58" s="20" t="s">
        <v>301</v>
      </c>
      <c r="T58" s="20" t="s">
        <v>275</v>
      </c>
      <c r="U58" s="20" t="s">
        <v>288</v>
      </c>
      <c r="V58" s="17" t="s">
        <v>35</v>
      </c>
      <c r="W58" s="20" t="str">
        <f>HYPERLINK("https://www.stromypodkontrolou.cz/map/tree/d41bce85-5010-4276-b929-4760db78c679/727dc93a-f761-4f2e-8d06-676ea8032f2b")</f>
        <v>https://www.stromypodkontrolou.cz/map/tree/d41bce85-5010-4276-b929-4760db78c679/727dc93a-f761-4f2e-8d06-676ea8032f2b</v>
      </c>
      <c r="X58" s="20">
        <v>-760653.50360299996</v>
      </c>
      <c r="Y58" s="20">
        <v>-992433.177837</v>
      </c>
      <c r="Z58" s="20" t="str">
        <f>HYPERLINK("https://www.mapy.cz?st=search&amp;fr=50.51558730 14.07478485")</f>
        <v>https://www.mapy.cz?st=search&amp;fr=50.51558730 14.07478485</v>
      </c>
      <c r="AA58" s="18" t="s">
        <v>48</v>
      </c>
      <c r="AB58" s="17">
        <v>0.6</v>
      </c>
      <c r="AC58" s="80" t="s">
        <v>426</v>
      </c>
      <c r="AD58" s="110"/>
    </row>
    <row r="59" spans="1:30" ht="35.1" customHeight="1" x14ac:dyDescent="0.2">
      <c r="A59" s="19" t="s">
        <v>140</v>
      </c>
      <c r="B59" s="20" t="s">
        <v>285</v>
      </c>
      <c r="C59" s="21">
        <v>16141</v>
      </c>
      <c r="D59" s="22" t="s">
        <v>302</v>
      </c>
      <c r="E59" s="23" t="s">
        <v>39</v>
      </c>
      <c r="F59" s="20" t="s">
        <v>40</v>
      </c>
      <c r="G59" s="21" t="s">
        <v>164</v>
      </c>
      <c r="H59" s="21" t="s">
        <v>176</v>
      </c>
      <c r="I59" s="21"/>
      <c r="J59" s="21"/>
      <c r="K59" s="21" t="s">
        <v>62</v>
      </c>
      <c r="L59" s="21" t="s">
        <v>63</v>
      </c>
      <c r="M59" s="21" t="s">
        <v>44</v>
      </c>
      <c r="N59" s="21" t="s">
        <v>33</v>
      </c>
      <c r="O59" s="21" t="s">
        <v>34</v>
      </c>
      <c r="P59" s="21" t="s">
        <v>36</v>
      </c>
      <c r="Q59" s="21" t="s">
        <v>46</v>
      </c>
      <c r="R59" s="21" t="s">
        <v>33</v>
      </c>
      <c r="S59" s="20" t="s">
        <v>161</v>
      </c>
      <c r="T59" s="20" t="s">
        <v>275</v>
      </c>
      <c r="U59" s="20" t="s">
        <v>288</v>
      </c>
      <c r="V59" s="17" t="s">
        <v>46</v>
      </c>
      <c r="W59" s="20" t="str">
        <f>HYPERLINK("https://www.stromypodkontrolou.cz/map/tree/d41bce85-5010-4276-b929-4760db78c679/16e17f13-45cc-405f-a43c-55c358de32a6")</f>
        <v>https://www.stromypodkontrolou.cz/map/tree/d41bce85-5010-4276-b929-4760db78c679/16e17f13-45cc-405f-a43c-55c358de32a6</v>
      </c>
      <c r="X59" s="20">
        <v>-760651.92939199996</v>
      </c>
      <c r="Y59" s="20">
        <v>-992433.761161</v>
      </c>
      <c r="Z59" s="20" t="str">
        <f>HYPERLINK("https://www.mapy.cz?st=search&amp;fr=50.51558410 14.07480799")</f>
        <v>https://www.mapy.cz?st=search&amp;fr=50.51558410 14.07480799</v>
      </c>
      <c r="AA59" s="18" t="s">
        <v>38</v>
      </c>
      <c r="AB59" s="17">
        <v>1.9</v>
      </c>
      <c r="AC59" s="80" t="s">
        <v>448</v>
      </c>
      <c r="AD59" s="110"/>
    </row>
    <row r="60" spans="1:30" ht="35.1" customHeight="1" x14ac:dyDescent="0.2">
      <c r="A60" s="19" t="s">
        <v>140</v>
      </c>
      <c r="B60" s="20" t="s">
        <v>285</v>
      </c>
      <c r="C60" s="21">
        <v>16142</v>
      </c>
      <c r="D60" s="22" t="s">
        <v>303</v>
      </c>
      <c r="E60" s="23" t="s">
        <v>39</v>
      </c>
      <c r="F60" s="20" t="s">
        <v>40</v>
      </c>
      <c r="G60" s="21" t="s">
        <v>79</v>
      </c>
      <c r="H60" s="21"/>
      <c r="I60" s="21"/>
      <c r="J60" s="21"/>
      <c r="K60" s="21" t="s">
        <v>58</v>
      </c>
      <c r="L60" s="21" t="s">
        <v>63</v>
      </c>
      <c r="M60" s="21" t="s">
        <v>97</v>
      </c>
      <c r="N60" s="21" t="s">
        <v>33</v>
      </c>
      <c r="O60" s="21" t="s">
        <v>34</v>
      </c>
      <c r="P60" s="21" t="s">
        <v>33</v>
      </c>
      <c r="Q60" s="21" t="s">
        <v>36</v>
      </c>
      <c r="R60" s="21" t="s">
        <v>33</v>
      </c>
      <c r="S60" s="20" t="s">
        <v>154</v>
      </c>
      <c r="T60" s="20" t="s">
        <v>275</v>
      </c>
      <c r="U60" s="20" t="s">
        <v>288</v>
      </c>
      <c r="V60" s="17" t="s">
        <v>46</v>
      </c>
      <c r="W60" s="20" t="str">
        <f>HYPERLINK("https://www.stromypodkontrolou.cz/map/tree/d41bce85-5010-4276-b929-4760db78c679/9bf647a5-56ed-4345-924b-dd23af0277d9")</f>
        <v>https://www.stromypodkontrolou.cz/map/tree/d41bce85-5010-4276-b929-4760db78c679/9bf647a5-56ed-4345-924b-dd23af0277d9</v>
      </c>
      <c r="X60" s="20">
        <v>-760647.19339300005</v>
      </c>
      <c r="Y60" s="20">
        <v>-992435.41722499998</v>
      </c>
      <c r="Z60" s="20" t="str">
        <f>HYPERLINK("https://www.mapy.cz?st=search&amp;fr=50.51557536 14.07487739")</f>
        <v>https://www.mapy.cz?st=search&amp;fr=50.51557536 14.07487739</v>
      </c>
      <c r="AA60" s="18" t="s">
        <v>38</v>
      </c>
      <c r="AB60" s="56">
        <v>1.9</v>
      </c>
      <c r="AC60" s="82" t="s">
        <v>446</v>
      </c>
      <c r="AD60" s="110"/>
    </row>
    <row r="61" spans="1:30" ht="35.1" customHeight="1" x14ac:dyDescent="0.2">
      <c r="A61" s="19" t="s">
        <v>140</v>
      </c>
      <c r="B61" s="20" t="s">
        <v>285</v>
      </c>
      <c r="C61" s="21">
        <v>16146</v>
      </c>
      <c r="D61" s="22" t="s">
        <v>304</v>
      </c>
      <c r="E61" s="23" t="s">
        <v>39</v>
      </c>
      <c r="F61" s="20" t="s">
        <v>40</v>
      </c>
      <c r="G61" s="21" t="s">
        <v>222</v>
      </c>
      <c r="H61" s="21"/>
      <c r="I61" s="21"/>
      <c r="J61" s="21"/>
      <c r="K61" s="21" t="s">
        <v>68</v>
      </c>
      <c r="L61" s="21" t="s">
        <v>31</v>
      </c>
      <c r="M61" s="21" t="s">
        <v>44</v>
      </c>
      <c r="N61" s="21" t="s">
        <v>33</v>
      </c>
      <c r="O61" s="21" t="s">
        <v>34</v>
      </c>
      <c r="P61" s="21" t="s">
        <v>36</v>
      </c>
      <c r="Q61" s="21" t="s">
        <v>33</v>
      </c>
      <c r="R61" s="21" t="s">
        <v>33</v>
      </c>
      <c r="S61" s="20" t="s">
        <v>305</v>
      </c>
      <c r="T61" s="20" t="s">
        <v>275</v>
      </c>
      <c r="U61" s="20" t="s">
        <v>288</v>
      </c>
      <c r="V61" s="17" t="s">
        <v>46</v>
      </c>
      <c r="W61" s="20" t="str">
        <f>HYPERLINK("https://www.stromypodkontrolou.cz/map/tree/d41bce85-5010-4276-b929-4760db78c679/b874b175-6429-4d5d-b752-ffef7a53d525")</f>
        <v>https://www.stromypodkontrolou.cz/map/tree/d41bce85-5010-4276-b929-4760db78c679/b874b175-6429-4d5d-b752-ffef7a53d525</v>
      </c>
      <c r="X61" s="20">
        <v>-760628.33988900005</v>
      </c>
      <c r="Y61" s="20">
        <v>-992442.33994099998</v>
      </c>
      <c r="Z61" s="20" t="str">
        <f>HYPERLINK("https://www.mapy.cz?st=search&amp;fr=50.51553762 14.07515433")</f>
        <v>https://www.mapy.cz?st=search&amp;fr=50.51553762 14.07515433</v>
      </c>
      <c r="AA61" s="18" t="s">
        <v>38</v>
      </c>
      <c r="AB61" s="56">
        <v>1.5</v>
      </c>
      <c r="AC61" s="82" t="s">
        <v>446</v>
      </c>
      <c r="AD61" s="110"/>
    </row>
    <row r="62" spans="1:30" ht="35.1" customHeight="1" x14ac:dyDescent="0.2">
      <c r="A62" s="19" t="s">
        <v>140</v>
      </c>
      <c r="B62" s="20" t="s">
        <v>285</v>
      </c>
      <c r="C62" s="21">
        <v>16148</v>
      </c>
      <c r="D62" s="22" t="s">
        <v>306</v>
      </c>
      <c r="E62" s="23" t="s">
        <v>39</v>
      </c>
      <c r="F62" s="20" t="s">
        <v>40</v>
      </c>
      <c r="G62" s="21" t="s">
        <v>67</v>
      </c>
      <c r="H62" s="21" t="s">
        <v>61</v>
      </c>
      <c r="I62" s="21"/>
      <c r="J62" s="21"/>
      <c r="K62" s="21" t="s">
        <v>77</v>
      </c>
      <c r="L62" s="21" t="s">
        <v>63</v>
      </c>
      <c r="M62" s="21" t="s">
        <v>97</v>
      </c>
      <c r="N62" s="21" t="s">
        <v>33</v>
      </c>
      <c r="O62" s="21" t="s">
        <v>34</v>
      </c>
      <c r="P62" s="21" t="s">
        <v>33</v>
      </c>
      <c r="Q62" s="21" t="s">
        <v>36</v>
      </c>
      <c r="R62" s="21" t="s">
        <v>33</v>
      </c>
      <c r="S62" s="20" t="s">
        <v>154</v>
      </c>
      <c r="T62" s="20" t="s">
        <v>275</v>
      </c>
      <c r="U62" s="20" t="s">
        <v>288</v>
      </c>
      <c r="V62" s="17" t="s">
        <v>46</v>
      </c>
      <c r="W62" s="20" t="str">
        <f>HYPERLINK("https://www.stromypodkontrolou.cz/map/tree/d41bce85-5010-4276-b929-4760db78c679/e05dcf19-45be-4d3a-83b5-0170444a0508")</f>
        <v>https://www.stromypodkontrolou.cz/map/tree/d41bce85-5010-4276-b929-4760db78c679/e05dcf19-45be-4d3a-83b5-0170444a0508</v>
      </c>
      <c r="X62" s="20">
        <v>-760622.68228199997</v>
      </c>
      <c r="Y62" s="20">
        <v>-992444.27085299999</v>
      </c>
      <c r="Z62" s="20" t="str">
        <f>HYPERLINK("https://www.mapy.cz?st=search&amp;fr=50.51552760 14.07523714")</f>
        <v>https://www.mapy.cz?st=search&amp;fr=50.51552760 14.07523714</v>
      </c>
      <c r="AA62" s="18" t="s">
        <v>38</v>
      </c>
      <c r="AB62" s="17">
        <v>1</v>
      </c>
      <c r="AC62" s="80" t="s">
        <v>445</v>
      </c>
      <c r="AD62" s="110"/>
    </row>
    <row r="63" spans="1:30" ht="35.1" customHeight="1" x14ac:dyDescent="0.2">
      <c r="A63" s="19" t="s">
        <v>140</v>
      </c>
      <c r="B63" s="20" t="s">
        <v>285</v>
      </c>
      <c r="C63" s="21">
        <v>16152</v>
      </c>
      <c r="D63" s="22" t="s">
        <v>307</v>
      </c>
      <c r="E63" s="23" t="s">
        <v>39</v>
      </c>
      <c r="F63" s="20" t="s">
        <v>40</v>
      </c>
      <c r="G63" s="21" t="s">
        <v>220</v>
      </c>
      <c r="H63" s="21"/>
      <c r="I63" s="21"/>
      <c r="J63" s="21"/>
      <c r="K63" s="21" t="s">
        <v>75</v>
      </c>
      <c r="L63" s="21" t="s">
        <v>116</v>
      </c>
      <c r="M63" s="21" t="s">
        <v>52</v>
      </c>
      <c r="N63" s="21" t="s">
        <v>33</v>
      </c>
      <c r="O63" s="21" t="s">
        <v>34</v>
      </c>
      <c r="P63" s="21" t="s">
        <v>33</v>
      </c>
      <c r="Q63" s="21" t="s">
        <v>36</v>
      </c>
      <c r="R63" s="21" t="s">
        <v>33</v>
      </c>
      <c r="S63" s="20" t="s">
        <v>154</v>
      </c>
      <c r="T63" s="20" t="s">
        <v>275</v>
      </c>
      <c r="U63" s="20" t="s">
        <v>308</v>
      </c>
      <c r="V63" s="17" t="s">
        <v>46</v>
      </c>
      <c r="W63" s="20" t="str">
        <f>HYPERLINK("https://www.stromypodkontrolou.cz/map/tree/d41bce85-5010-4276-b929-4760db78c679/454a5ef6-29b0-464b-8213-958fbff70ee6")</f>
        <v>https://www.stromypodkontrolou.cz/map/tree/d41bce85-5010-4276-b929-4760db78c679/454a5ef6-29b0-464b-8213-958fbff70ee6</v>
      </c>
      <c r="X63" s="20">
        <v>-760607.72060899995</v>
      </c>
      <c r="Y63" s="20">
        <v>-992449.68153900001</v>
      </c>
      <c r="Z63" s="20" t="str">
        <f>HYPERLINK("https://www.mapy.cz?st=search&amp;fr=50.51549839 14.07545675")</f>
        <v>https://www.mapy.cz?st=search&amp;fr=50.51549839 14.07545675</v>
      </c>
      <c r="AA63" s="18" t="s">
        <v>38</v>
      </c>
      <c r="AB63" s="17">
        <v>3.3</v>
      </c>
      <c r="AC63" s="80" t="s">
        <v>448</v>
      </c>
      <c r="AD63" s="110"/>
    </row>
    <row r="64" spans="1:30" ht="35.1" customHeight="1" x14ac:dyDescent="0.2">
      <c r="A64" s="19" t="s">
        <v>140</v>
      </c>
      <c r="B64" s="20" t="s">
        <v>285</v>
      </c>
      <c r="C64" s="21">
        <v>16155</v>
      </c>
      <c r="D64" s="22" t="s">
        <v>309</v>
      </c>
      <c r="E64" s="23" t="s">
        <v>39</v>
      </c>
      <c r="F64" s="20" t="s">
        <v>40</v>
      </c>
      <c r="G64" s="21" t="s">
        <v>72</v>
      </c>
      <c r="H64" s="21"/>
      <c r="I64" s="21"/>
      <c r="J64" s="21"/>
      <c r="K64" s="21" t="s">
        <v>75</v>
      </c>
      <c r="L64" s="21" t="s">
        <v>81</v>
      </c>
      <c r="M64" s="21" t="s">
        <v>36</v>
      </c>
      <c r="N64" s="21" t="s">
        <v>33</v>
      </c>
      <c r="O64" s="21" t="s">
        <v>45</v>
      </c>
      <c r="P64" s="21" t="s">
        <v>35</v>
      </c>
      <c r="Q64" s="21" t="s">
        <v>36</v>
      </c>
      <c r="R64" s="21" t="s">
        <v>36</v>
      </c>
      <c r="S64" s="20" t="s">
        <v>111</v>
      </c>
      <c r="T64" s="20" t="s">
        <v>275</v>
      </c>
      <c r="U64" s="20" t="s">
        <v>308</v>
      </c>
      <c r="V64" s="17" t="s">
        <v>36</v>
      </c>
      <c r="W64" s="20" t="str">
        <f>HYPERLINK("https://www.stromypodkontrolou.cz/map/tree/d41bce85-5010-4276-b929-4760db78c679/0b504ba2-847f-43e7-a40d-5e426ff6f691")</f>
        <v>https://www.stromypodkontrolou.cz/map/tree/d41bce85-5010-4276-b929-4760db78c679/0b504ba2-847f-43e7-a40d-5e426ff6f691</v>
      </c>
      <c r="X64" s="20">
        <v>-760587.82864600001</v>
      </c>
      <c r="Y64" s="20">
        <v>-992455.88959399995</v>
      </c>
      <c r="Z64" s="20" t="str">
        <f>HYPERLINK("https://www.mapy.cz?st=search&amp;fr=50.51546833 14.07574676")</f>
        <v>https://www.mapy.cz?st=search&amp;fr=50.51546833 14.07574676</v>
      </c>
      <c r="AA64" s="18" t="s">
        <v>38</v>
      </c>
      <c r="AB64" s="17">
        <v>0.7</v>
      </c>
      <c r="AC64" s="80" t="s">
        <v>445</v>
      </c>
      <c r="AD64" s="110"/>
    </row>
    <row r="65" spans="1:30" ht="35.1" customHeight="1" x14ac:dyDescent="0.2">
      <c r="A65" s="19" t="s">
        <v>140</v>
      </c>
      <c r="B65" s="20" t="s">
        <v>285</v>
      </c>
      <c r="C65" s="21">
        <v>16156</v>
      </c>
      <c r="D65" s="22" t="s">
        <v>310</v>
      </c>
      <c r="E65" s="23" t="s">
        <v>39</v>
      </c>
      <c r="F65" s="20" t="s">
        <v>40</v>
      </c>
      <c r="G65" s="21" t="s">
        <v>176</v>
      </c>
      <c r="H65" s="21"/>
      <c r="I65" s="21"/>
      <c r="J65" s="21"/>
      <c r="K65" s="21" t="s">
        <v>68</v>
      </c>
      <c r="L65" s="21" t="s">
        <v>116</v>
      </c>
      <c r="M65" s="21" t="s">
        <v>97</v>
      </c>
      <c r="N65" s="21" t="s">
        <v>33</v>
      </c>
      <c r="O65" s="21" t="s">
        <v>34</v>
      </c>
      <c r="P65" s="21" t="s">
        <v>33</v>
      </c>
      <c r="Q65" s="21" t="s">
        <v>33</v>
      </c>
      <c r="R65" s="21" t="s">
        <v>33</v>
      </c>
      <c r="S65" s="20" t="s">
        <v>311</v>
      </c>
      <c r="T65" s="20" t="s">
        <v>275</v>
      </c>
      <c r="U65" s="20" t="s">
        <v>308</v>
      </c>
      <c r="V65" s="17" t="s">
        <v>46</v>
      </c>
      <c r="W65" s="20" t="str">
        <f>HYPERLINK("https://www.stromypodkontrolou.cz/map/tree/d41bce85-5010-4276-b929-4760db78c679/8e7882c7-ac3b-4d20-bccc-ee21ac4c3786")</f>
        <v>https://www.stromypodkontrolou.cz/map/tree/d41bce85-5010-4276-b929-4760db78c679/8e7882c7-ac3b-4d20-bccc-ee21ac4c3786</v>
      </c>
      <c r="X65" s="20">
        <v>-760584.80823900003</v>
      </c>
      <c r="Y65" s="20">
        <v>-992456.77450699999</v>
      </c>
      <c r="Z65" s="20" t="str">
        <f>HYPERLINK("https://www.mapy.cz?st=search&amp;fr=50.51546428 14.07579068")</f>
        <v>https://www.mapy.cz?st=search&amp;fr=50.51546428 14.07579068</v>
      </c>
      <c r="AA65" s="18" t="s">
        <v>38</v>
      </c>
      <c r="AB65" s="17">
        <v>1.1000000000000001</v>
      </c>
      <c r="AC65" s="80" t="s">
        <v>445</v>
      </c>
      <c r="AD65" s="110"/>
    </row>
    <row r="66" spans="1:30" ht="35.1" customHeight="1" x14ac:dyDescent="0.2">
      <c r="A66" s="19" t="s">
        <v>140</v>
      </c>
      <c r="B66" s="20" t="s">
        <v>285</v>
      </c>
      <c r="C66" s="21">
        <v>16165</v>
      </c>
      <c r="D66" s="22" t="s">
        <v>312</v>
      </c>
      <c r="E66" s="23" t="s">
        <v>286</v>
      </c>
      <c r="F66" s="20" t="s">
        <v>287</v>
      </c>
      <c r="G66" s="21" t="s">
        <v>215</v>
      </c>
      <c r="H66" s="21"/>
      <c r="I66" s="21"/>
      <c r="J66" s="21"/>
      <c r="K66" s="21" t="s">
        <v>77</v>
      </c>
      <c r="L66" s="21" t="s">
        <v>31</v>
      </c>
      <c r="M66" s="21" t="s">
        <v>107</v>
      </c>
      <c r="N66" s="21" t="s">
        <v>97</v>
      </c>
      <c r="O66" s="21" t="s">
        <v>34</v>
      </c>
      <c r="P66" s="21" t="s">
        <v>33</v>
      </c>
      <c r="Q66" s="21" t="s">
        <v>33</v>
      </c>
      <c r="R66" s="21" t="s">
        <v>33</v>
      </c>
      <c r="S66" s="20" t="s">
        <v>313</v>
      </c>
      <c r="T66" s="20" t="s">
        <v>275</v>
      </c>
      <c r="U66" s="20" t="s">
        <v>288</v>
      </c>
      <c r="V66" s="17" t="s">
        <v>46</v>
      </c>
      <c r="W66" s="20" t="str">
        <f>HYPERLINK("https://www.stromypodkontrolou.cz/map/tree/d41bce85-5010-4276-b929-4760db78c679/998355cd-5ee2-46bb-ba6d-5cea56e8a41d")</f>
        <v>https://www.stromypodkontrolou.cz/map/tree/d41bce85-5010-4276-b929-4760db78c679/998355cd-5ee2-46bb-ba6d-5cea56e8a41d</v>
      </c>
      <c r="X66" s="20">
        <v>-760675.54292699997</v>
      </c>
      <c r="Y66" s="20">
        <v>-992469.06004200003</v>
      </c>
      <c r="Z66" s="20" t="str">
        <f>HYPERLINK("https://www.mapy.cz?st=search&amp;fr=50.51524000 14.07454848")</f>
        <v>https://www.mapy.cz?st=search&amp;fr=50.51524000 14.07454848</v>
      </c>
      <c r="AA66" s="18" t="s">
        <v>48</v>
      </c>
      <c r="AB66" s="56">
        <v>2.2999999999999998</v>
      </c>
      <c r="AC66" s="82" t="s">
        <v>431</v>
      </c>
      <c r="AD66" s="110"/>
    </row>
    <row r="67" spans="1:30" ht="35.1" customHeight="1" x14ac:dyDescent="0.2">
      <c r="A67" s="19" t="s">
        <v>140</v>
      </c>
      <c r="B67" s="20" t="s">
        <v>285</v>
      </c>
      <c r="C67" s="21">
        <v>16173</v>
      </c>
      <c r="D67" s="22" t="s">
        <v>314</v>
      </c>
      <c r="E67" s="23" t="s">
        <v>315</v>
      </c>
      <c r="F67" s="20" t="s">
        <v>316</v>
      </c>
      <c r="G67" s="21" t="s">
        <v>164</v>
      </c>
      <c r="H67" s="21"/>
      <c r="I67" s="21"/>
      <c r="J67" s="21"/>
      <c r="K67" s="21" t="s">
        <v>115</v>
      </c>
      <c r="L67" s="21" t="s">
        <v>116</v>
      </c>
      <c r="M67" s="21" t="s">
        <v>33</v>
      </c>
      <c r="N67" s="21" t="s">
        <v>33</v>
      </c>
      <c r="O67" s="21" t="s">
        <v>45</v>
      </c>
      <c r="P67" s="21" t="s">
        <v>35</v>
      </c>
      <c r="Q67" s="21" t="s">
        <v>36</v>
      </c>
      <c r="R67" s="21" t="s">
        <v>33</v>
      </c>
      <c r="S67" s="20" t="s">
        <v>317</v>
      </c>
      <c r="T67" s="20" t="s">
        <v>275</v>
      </c>
      <c r="U67" s="20" t="s">
        <v>318</v>
      </c>
      <c r="V67" s="17" t="s">
        <v>36</v>
      </c>
      <c r="W67" s="20" t="str">
        <f>HYPERLINK("https://www.stromypodkontrolou.cz/map/tree/d41bce85-5010-4276-b929-4760db78c679/7605d251-e449-4861-bae2-5ca79b420ea4")</f>
        <v>https://www.stromypodkontrolou.cz/map/tree/d41bce85-5010-4276-b929-4760db78c679/7605d251-e449-4861-bae2-5ca79b420ea4</v>
      </c>
      <c r="X67" s="20">
        <v>-760785.63476100005</v>
      </c>
      <c r="Y67" s="20">
        <v>-992373.50860199996</v>
      </c>
      <c r="Z67" s="20" t="str">
        <f>HYPERLINK("https://www.mapy.cz?st=search&amp;fr=50.51595100 14.07282181")</f>
        <v>https://www.mapy.cz?st=search&amp;fr=50.51595100 14.07282181</v>
      </c>
      <c r="AA67" s="18" t="s">
        <v>38</v>
      </c>
      <c r="AB67" s="56">
        <v>2</v>
      </c>
      <c r="AC67" s="82" t="s">
        <v>446</v>
      </c>
      <c r="AD67" s="110"/>
    </row>
    <row r="68" spans="1:30" ht="35.1" customHeight="1" x14ac:dyDescent="0.2">
      <c r="A68" s="19" t="s">
        <v>140</v>
      </c>
      <c r="B68" s="20" t="s">
        <v>285</v>
      </c>
      <c r="C68" s="21">
        <v>16176</v>
      </c>
      <c r="D68" s="22" t="s">
        <v>319</v>
      </c>
      <c r="E68" s="23" t="s">
        <v>315</v>
      </c>
      <c r="F68" s="20" t="s">
        <v>316</v>
      </c>
      <c r="G68" s="21" t="s">
        <v>213</v>
      </c>
      <c r="H68" s="21"/>
      <c r="I68" s="21"/>
      <c r="J68" s="21"/>
      <c r="K68" s="21" t="s">
        <v>68</v>
      </c>
      <c r="L68" s="21" t="s">
        <v>78</v>
      </c>
      <c r="M68" s="21" t="s">
        <v>32</v>
      </c>
      <c r="N68" s="21" t="s">
        <v>33</v>
      </c>
      <c r="O68" s="21" t="s">
        <v>45</v>
      </c>
      <c r="P68" s="21" t="s">
        <v>35</v>
      </c>
      <c r="Q68" s="21" t="s">
        <v>35</v>
      </c>
      <c r="R68" s="21" t="s">
        <v>33</v>
      </c>
      <c r="S68" s="20" t="s">
        <v>317</v>
      </c>
      <c r="T68" s="20" t="s">
        <v>275</v>
      </c>
      <c r="U68" s="20" t="s">
        <v>318</v>
      </c>
      <c r="V68" s="17" t="s">
        <v>36</v>
      </c>
      <c r="W68" s="20" t="str">
        <f>HYPERLINK("https://www.stromypodkontrolou.cz/map/tree/d41bce85-5010-4276-b929-4760db78c679/0c70b223-4a7b-4121-8463-4280ec09767d")</f>
        <v>https://www.stromypodkontrolou.cz/map/tree/d41bce85-5010-4276-b929-4760db78c679/0c70b223-4a7b-4121-8463-4280ec09767d</v>
      </c>
      <c r="X68" s="20">
        <v>-760797.63970000006</v>
      </c>
      <c r="Y68" s="20">
        <v>-992368.92546499998</v>
      </c>
      <c r="Z68" s="20" t="str">
        <f>HYPERLINK("https://www.mapy.cz?st=search&amp;fr=50.51597658 14.07264512")</f>
        <v>https://www.mapy.cz?st=search&amp;fr=50.51597658 14.07264512</v>
      </c>
      <c r="AA68" s="18" t="s">
        <v>38</v>
      </c>
      <c r="AB68" s="17">
        <v>3.6</v>
      </c>
      <c r="AC68" s="80" t="s">
        <v>448</v>
      </c>
      <c r="AD68" s="110"/>
    </row>
    <row r="69" spans="1:30" ht="35.1" customHeight="1" x14ac:dyDescent="0.2">
      <c r="A69" s="19" t="s">
        <v>140</v>
      </c>
      <c r="B69" s="20" t="s">
        <v>285</v>
      </c>
      <c r="C69" s="21">
        <v>16181</v>
      </c>
      <c r="D69" s="22" t="s">
        <v>322</v>
      </c>
      <c r="E69" s="23" t="s">
        <v>315</v>
      </c>
      <c r="F69" s="20" t="s">
        <v>316</v>
      </c>
      <c r="G69" s="21" t="s">
        <v>235</v>
      </c>
      <c r="H69" s="21"/>
      <c r="I69" s="21"/>
      <c r="J69" s="21"/>
      <c r="K69" s="21" t="s">
        <v>214</v>
      </c>
      <c r="L69" s="21" t="s">
        <v>42</v>
      </c>
      <c r="M69" s="21" t="s">
        <v>32</v>
      </c>
      <c r="N69" s="21" t="s">
        <v>33</v>
      </c>
      <c r="O69" s="21" t="s">
        <v>34</v>
      </c>
      <c r="P69" s="21" t="s">
        <v>33</v>
      </c>
      <c r="Q69" s="21" t="s">
        <v>33</v>
      </c>
      <c r="R69" s="21" t="s">
        <v>33</v>
      </c>
      <c r="S69" s="20" t="s">
        <v>323</v>
      </c>
      <c r="T69" s="20" t="s">
        <v>275</v>
      </c>
      <c r="U69" s="20" t="s">
        <v>318</v>
      </c>
      <c r="V69" s="17" t="s">
        <v>46</v>
      </c>
      <c r="W69" s="20" t="str">
        <f>HYPERLINK("https://www.stromypodkontrolou.cz/map/tree/d41bce85-5010-4276-b929-4760db78c679/e4a2bf75-03c2-494e-85e0-cce639cf90fe")</f>
        <v>https://www.stromypodkontrolou.cz/map/tree/d41bce85-5010-4276-b929-4760db78c679/e4a2bf75-03c2-494e-85e0-cce639cf90fe</v>
      </c>
      <c r="X69" s="20">
        <v>-760825.19149400003</v>
      </c>
      <c r="Y69" s="20">
        <v>-992362.20105799998</v>
      </c>
      <c r="Z69" s="20" t="str">
        <f>HYPERLINK("https://www.mapy.cz?st=search&amp;fr=50.51600152 14.07224715")</f>
        <v>https://www.mapy.cz?st=search&amp;fr=50.51600152 14.07224715</v>
      </c>
      <c r="AA69" s="18" t="s">
        <v>38</v>
      </c>
      <c r="AB69" s="17">
        <v>5.8</v>
      </c>
      <c r="AC69" s="80" t="s">
        <v>448</v>
      </c>
      <c r="AD69" s="110"/>
    </row>
    <row r="70" spans="1:30" ht="35.1" customHeight="1" x14ac:dyDescent="0.2">
      <c r="A70" s="19" t="s">
        <v>140</v>
      </c>
      <c r="B70" s="20" t="s">
        <v>285</v>
      </c>
      <c r="C70" s="21">
        <v>16184</v>
      </c>
      <c r="D70" s="22" t="s">
        <v>324</v>
      </c>
      <c r="E70" s="23" t="s">
        <v>320</v>
      </c>
      <c r="F70" s="20" t="s">
        <v>321</v>
      </c>
      <c r="G70" s="21" t="s">
        <v>135</v>
      </c>
      <c r="H70" s="21"/>
      <c r="I70" s="21"/>
      <c r="J70" s="21"/>
      <c r="K70" s="21" t="s">
        <v>77</v>
      </c>
      <c r="L70" s="21" t="s">
        <v>106</v>
      </c>
      <c r="M70" s="21" t="s">
        <v>44</v>
      </c>
      <c r="N70" s="21" t="s">
        <v>33</v>
      </c>
      <c r="O70" s="21" t="s">
        <v>45</v>
      </c>
      <c r="P70" s="21" t="s">
        <v>35</v>
      </c>
      <c r="Q70" s="21" t="s">
        <v>36</v>
      </c>
      <c r="R70" s="21" t="s">
        <v>36</v>
      </c>
      <c r="S70" s="20" t="s">
        <v>189</v>
      </c>
      <c r="T70" s="20" t="s">
        <v>275</v>
      </c>
      <c r="U70" s="20" t="s">
        <v>318</v>
      </c>
      <c r="V70" s="17" t="s">
        <v>36</v>
      </c>
      <c r="W70" s="20" t="str">
        <f>HYPERLINK("https://www.stromypodkontrolou.cz/map/tree/d41bce85-5010-4276-b929-4760db78c679/e0d74897-b650-42d3-b468-dddca8f7aaac")</f>
        <v>https://www.stromypodkontrolou.cz/map/tree/d41bce85-5010-4276-b929-4760db78c679/e0d74897-b650-42d3-b468-dddca8f7aaac</v>
      </c>
      <c r="X70" s="20">
        <v>-760836.92923100002</v>
      </c>
      <c r="Y70" s="20">
        <v>-992347.81142499996</v>
      </c>
      <c r="Z70" s="20" t="str">
        <f>HYPERLINK("https://www.mapy.cz?st=search&amp;fr=50.51611473 14.07205470")</f>
        <v>https://www.mapy.cz?st=search&amp;fr=50.51611473 14.07205470</v>
      </c>
      <c r="AA70" s="18" t="s">
        <v>38</v>
      </c>
      <c r="AB70" s="17">
        <v>5.7</v>
      </c>
      <c r="AC70" s="80" t="s">
        <v>445</v>
      </c>
      <c r="AD70" s="110"/>
    </row>
    <row r="71" spans="1:30" ht="35.1" customHeight="1" x14ac:dyDescent="0.2">
      <c r="A71" s="19" t="s">
        <v>140</v>
      </c>
      <c r="B71" s="20" t="s">
        <v>285</v>
      </c>
      <c r="C71" s="21">
        <v>16205</v>
      </c>
      <c r="D71" s="22" t="s">
        <v>325</v>
      </c>
      <c r="E71" s="23" t="s">
        <v>326</v>
      </c>
      <c r="F71" s="20" t="s">
        <v>327</v>
      </c>
      <c r="G71" s="21" t="s">
        <v>220</v>
      </c>
      <c r="H71" s="21"/>
      <c r="I71" s="21"/>
      <c r="J71" s="21"/>
      <c r="K71" s="21" t="s">
        <v>119</v>
      </c>
      <c r="L71" s="21" t="s">
        <v>102</v>
      </c>
      <c r="M71" s="21" t="s">
        <v>144</v>
      </c>
      <c r="N71" s="21" t="s">
        <v>33</v>
      </c>
      <c r="O71" s="21" t="s">
        <v>34</v>
      </c>
      <c r="P71" s="21" t="s">
        <v>36</v>
      </c>
      <c r="Q71" s="21" t="s">
        <v>33</v>
      </c>
      <c r="R71" s="21" t="s">
        <v>33</v>
      </c>
      <c r="S71" s="20" t="s">
        <v>328</v>
      </c>
      <c r="T71" s="20" t="s">
        <v>275</v>
      </c>
      <c r="U71" s="20" t="s">
        <v>318</v>
      </c>
      <c r="V71" s="17" t="s">
        <v>46</v>
      </c>
      <c r="W71" s="20" t="str">
        <f>HYPERLINK("https://www.stromypodkontrolou.cz/map/tree/d41bce85-5010-4276-b929-4760db78c679/6a9e3f42-889b-4306-bc41-3bd4983c9063")</f>
        <v>https://www.stromypodkontrolou.cz/map/tree/d41bce85-5010-4276-b929-4760db78c679/6a9e3f42-889b-4306-bc41-3bd4983c9063</v>
      </c>
      <c r="X71" s="20">
        <v>-760812.31636199995</v>
      </c>
      <c r="Y71" s="20">
        <v>-992385.13596700004</v>
      </c>
      <c r="Z71" s="20" t="str">
        <f>HYPERLINK("https://www.mapy.cz?st=search&amp;fr=50.51581370 14.07247245")</f>
        <v>https://www.mapy.cz?st=search&amp;fr=50.51581370 14.07247245</v>
      </c>
      <c r="AA71" s="18" t="s">
        <v>48</v>
      </c>
      <c r="AB71" s="17">
        <v>1.2</v>
      </c>
      <c r="AC71" s="80" t="s">
        <v>432</v>
      </c>
      <c r="AD71" s="110"/>
    </row>
    <row r="72" spans="1:30" ht="35.1" customHeight="1" x14ac:dyDescent="0.2">
      <c r="A72" s="19" t="s">
        <v>140</v>
      </c>
      <c r="B72" s="20" t="s">
        <v>285</v>
      </c>
      <c r="C72" s="21">
        <v>16217</v>
      </c>
      <c r="D72" s="22" t="s">
        <v>330</v>
      </c>
      <c r="E72" s="23" t="s">
        <v>315</v>
      </c>
      <c r="F72" s="20" t="s">
        <v>316</v>
      </c>
      <c r="G72" s="21" t="s">
        <v>213</v>
      </c>
      <c r="H72" s="21"/>
      <c r="I72" s="21"/>
      <c r="J72" s="21"/>
      <c r="K72" s="21" t="s">
        <v>62</v>
      </c>
      <c r="L72" s="21" t="s">
        <v>82</v>
      </c>
      <c r="M72" s="21" t="s">
        <v>46</v>
      </c>
      <c r="N72" s="21" t="s">
        <v>97</v>
      </c>
      <c r="O72" s="21" t="s">
        <v>34</v>
      </c>
      <c r="P72" s="21" t="s">
        <v>97</v>
      </c>
      <c r="Q72" s="21" t="s">
        <v>36</v>
      </c>
      <c r="R72" s="21" t="s">
        <v>97</v>
      </c>
      <c r="S72" s="20" t="s">
        <v>331</v>
      </c>
      <c r="T72" s="20" t="s">
        <v>275</v>
      </c>
      <c r="U72" s="20" t="s">
        <v>318</v>
      </c>
      <c r="V72" s="17" t="s">
        <v>35</v>
      </c>
      <c r="W72" s="20" t="str">
        <f>HYPERLINK("https://www.stromypodkontrolou.cz/map/tree/d41bce85-5010-4276-b929-4760db78c679/c3dc7966-651c-4125-adad-6c249023019d")</f>
        <v>https://www.stromypodkontrolou.cz/map/tree/d41bce85-5010-4276-b929-4760db78c679/c3dc7966-651c-4125-adad-6c249023019d</v>
      </c>
      <c r="X72" s="20">
        <v>-760763.30569099996</v>
      </c>
      <c r="Y72" s="20">
        <v>-992394.48363799998</v>
      </c>
      <c r="Z72" s="20" t="str">
        <f>HYPERLINK("https://www.mapy.cz?st=search&amp;fr=50.51579260 14.07317519")</f>
        <v>https://www.mapy.cz?st=search&amp;fr=50.51579260 14.07317519</v>
      </c>
      <c r="AA72" s="18" t="s">
        <v>48</v>
      </c>
      <c r="AB72" s="17">
        <v>2.6</v>
      </c>
      <c r="AC72" s="80" t="s">
        <v>432</v>
      </c>
      <c r="AD72" s="110"/>
    </row>
    <row r="73" spans="1:30" ht="35.1" customHeight="1" x14ac:dyDescent="0.2">
      <c r="A73" s="19" t="s">
        <v>140</v>
      </c>
      <c r="B73" s="20" t="s">
        <v>285</v>
      </c>
      <c r="C73" s="21">
        <v>16222</v>
      </c>
      <c r="D73" s="22" t="s">
        <v>332</v>
      </c>
      <c r="E73" s="23" t="s">
        <v>315</v>
      </c>
      <c r="F73" s="20" t="s">
        <v>316</v>
      </c>
      <c r="G73" s="21" t="s">
        <v>56</v>
      </c>
      <c r="H73" s="21"/>
      <c r="I73" s="21"/>
      <c r="J73" s="21"/>
      <c r="K73" s="21" t="s">
        <v>62</v>
      </c>
      <c r="L73" s="21" t="s">
        <v>82</v>
      </c>
      <c r="M73" s="21" t="s">
        <v>46</v>
      </c>
      <c r="N73" s="21" t="s">
        <v>33</v>
      </c>
      <c r="O73" s="21" t="s">
        <v>34</v>
      </c>
      <c r="P73" s="21" t="s">
        <v>97</v>
      </c>
      <c r="Q73" s="21" t="s">
        <v>36</v>
      </c>
      <c r="R73" s="21" t="s">
        <v>97</v>
      </c>
      <c r="S73" s="20" t="s">
        <v>333</v>
      </c>
      <c r="T73" s="20" t="s">
        <v>275</v>
      </c>
      <c r="U73" s="20" t="s">
        <v>318</v>
      </c>
      <c r="V73" s="17" t="s">
        <v>35</v>
      </c>
      <c r="W73" s="20" t="str">
        <f>HYPERLINK("https://www.stromypodkontrolou.cz/map/tree/d41bce85-5010-4276-b929-4760db78c679/5371b2d2-faa2-4211-b8bf-53ee238219bf")</f>
        <v>https://www.stromypodkontrolou.cz/map/tree/d41bce85-5010-4276-b929-4760db78c679/5371b2d2-faa2-4211-b8bf-53ee238219bf</v>
      </c>
      <c r="X73" s="20">
        <v>-760778.91117400001</v>
      </c>
      <c r="Y73" s="20">
        <v>-992379.42381499999</v>
      </c>
      <c r="Z73" s="20" t="str">
        <f>HYPERLINK("https://www.mapy.cz?st=search&amp;fr=50.51590687 14.07292742")</f>
        <v>https://www.mapy.cz?st=search&amp;fr=50.51590687 14.07292742</v>
      </c>
      <c r="AA73" s="18" t="s">
        <v>48</v>
      </c>
      <c r="AB73" s="56">
        <v>1.1000000000000001</v>
      </c>
      <c r="AC73" s="82" t="s">
        <v>431</v>
      </c>
      <c r="AD73" s="110"/>
    </row>
    <row r="74" spans="1:30" ht="35.1" customHeight="1" x14ac:dyDescent="0.2">
      <c r="A74" s="19" t="s">
        <v>140</v>
      </c>
      <c r="B74" s="20" t="s">
        <v>285</v>
      </c>
      <c r="C74" s="21">
        <v>16290</v>
      </c>
      <c r="D74" s="22" t="s">
        <v>334</v>
      </c>
      <c r="E74" s="23" t="s">
        <v>130</v>
      </c>
      <c r="F74" s="20" t="s">
        <v>131</v>
      </c>
      <c r="G74" s="21" t="s">
        <v>95</v>
      </c>
      <c r="H74" s="21"/>
      <c r="I74" s="21"/>
      <c r="J74" s="21"/>
      <c r="K74" s="21" t="s">
        <v>77</v>
      </c>
      <c r="L74" s="21" t="s">
        <v>106</v>
      </c>
      <c r="M74" s="21" t="s">
        <v>52</v>
      </c>
      <c r="N74" s="21" t="s">
        <v>36</v>
      </c>
      <c r="O74" s="21" t="s">
        <v>34</v>
      </c>
      <c r="P74" s="21" t="s">
        <v>97</v>
      </c>
      <c r="Q74" s="21" t="s">
        <v>33</v>
      </c>
      <c r="R74" s="21" t="s">
        <v>97</v>
      </c>
      <c r="S74" s="20" t="s">
        <v>98</v>
      </c>
      <c r="T74" s="20" t="s">
        <v>275</v>
      </c>
      <c r="U74" s="20" t="s">
        <v>335</v>
      </c>
      <c r="V74" s="17" t="s">
        <v>46</v>
      </c>
      <c r="W74" s="20" t="str">
        <f>HYPERLINK("https://www.stromypodkontrolou.cz/map/tree/d41bce85-5010-4276-b929-4760db78c679/8226024a-dabd-43af-adb8-0aeb6c50b589")</f>
        <v>https://www.stromypodkontrolou.cz/map/tree/d41bce85-5010-4276-b929-4760db78c679/8226024a-dabd-43af-adb8-0aeb6c50b589</v>
      </c>
      <c r="X74" s="20">
        <v>-761624.62882600003</v>
      </c>
      <c r="Y74" s="20">
        <v>-992157.70029900002</v>
      </c>
      <c r="Z74" s="20" t="str">
        <f>HYPERLINK("https://www.mapy.cz?st=search&amp;fr=50.51680823 14.06068079")</f>
        <v>https://www.mapy.cz?st=search&amp;fr=50.51680823 14.06068079</v>
      </c>
      <c r="AA74" s="18" t="s">
        <v>38</v>
      </c>
      <c r="AB74" s="17">
        <v>0.6</v>
      </c>
      <c r="AC74" s="80" t="s">
        <v>445</v>
      </c>
      <c r="AD74" s="110"/>
    </row>
    <row r="75" spans="1:30" ht="35.1" customHeight="1" x14ac:dyDescent="0.2">
      <c r="A75" s="19" t="s">
        <v>140</v>
      </c>
      <c r="B75" s="20" t="s">
        <v>285</v>
      </c>
      <c r="C75" s="21">
        <v>16291</v>
      </c>
      <c r="D75" s="22" t="s">
        <v>336</v>
      </c>
      <c r="E75" s="23" t="s">
        <v>130</v>
      </c>
      <c r="F75" s="20" t="s">
        <v>131</v>
      </c>
      <c r="G75" s="21" t="s">
        <v>118</v>
      </c>
      <c r="H75" s="21"/>
      <c r="I75" s="21"/>
      <c r="J75" s="21"/>
      <c r="K75" s="21" t="s">
        <v>81</v>
      </c>
      <c r="L75" s="21" t="s">
        <v>62</v>
      </c>
      <c r="M75" s="21" t="s">
        <v>35</v>
      </c>
      <c r="N75" s="21" t="s">
        <v>97</v>
      </c>
      <c r="O75" s="21" t="s">
        <v>34</v>
      </c>
      <c r="P75" s="21" t="s">
        <v>97</v>
      </c>
      <c r="Q75" s="21" t="s">
        <v>33</v>
      </c>
      <c r="R75" s="21" t="s">
        <v>97</v>
      </c>
      <c r="S75" s="20" t="s">
        <v>161</v>
      </c>
      <c r="T75" s="20" t="s">
        <v>275</v>
      </c>
      <c r="U75" s="20" t="s">
        <v>337</v>
      </c>
      <c r="V75" s="17" t="s">
        <v>46</v>
      </c>
      <c r="W75" s="20" t="str">
        <f>HYPERLINK("https://www.stromypodkontrolou.cz/map/tree/d41bce85-5010-4276-b929-4760db78c679/2cbfe544-af26-4401-93a3-dad17425c17b")</f>
        <v>https://www.stromypodkontrolou.cz/map/tree/d41bce85-5010-4276-b929-4760db78c679/2cbfe544-af26-4401-93a3-dad17425c17b</v>
      </c>
      <c r="X75" s="20">
        <v>-761530.99284600001</v>
      </c>
      <c r="Y75" s="20">
        <v>-992304.58023299999</v>
      </c>
      <c r="Z75" s="20" t="str">
        <f>HYPERLINK("https://www.mapy.cz?st=search&amp;fr=50.51561970 14.06228006")</f>
        <v>https://www.mapy.cz?st=search&amp;fr=50.51561970 14.06228006</v>
      </c>
      <c r="AA75" s="18" t="s">
        <v>38</v>
      </c>
      <c r="AB75" s="17">
        <v>5.0999999999999996</v>
      </c>
      <c r="AC75" s="80" t="s">
        <v>449</v>
      </c>
      <c r="AD75" s="110"/>
    </row>
    <row r="76" spans="1:30" ht="35.1" customHeight="1" thickBot="1" x14ac:dyDescent="0.25">
      <c r="A76" s="39" t="s">
        <v>140</v>
      </c>
      <c r="B76" s="40" t="s">
        <v>285</v>
      </c>
      <c r="C76" s="41">
        <v>16295</v>
      </c>
      <c r="D76" s="42" t="s">
        <v>338</v>
      </c>
      <c r="E76" s="43" t="s">
        <v>112</v>
      </c>
      <c r="F76" s="40" t="s">
        <v>113</v>
      </c>
      <c r="G76" s="41" t="s">
        <v>176</v>
      </c>
      <c r="H76" s="41"/>
      <c r="I76" s="41"/>
      <c r="J76" s="41"/>
      <c r="K76" s="41" t="s">
        <v>86</v>
      </c>
      <c r="L76" s="41" t="s">
        <v>53</v>
      </c>
      <c r="M76" s="41" t="s">
        <v>52</v>
      </c>
      <c r="N76" s="41" t="s">
        <v>33</v>
      </c>
      <c r="O76" s="41" t="s">
        <v>34</v>
      </c>
      <c r="P76" s="41" t="s">
        <v>33</v>
      </c>
      <c r="Q76" s="41" t="s">
        <v>36</v>
      </c>
      <c r="R76" s="41" t="s">
        <v>33</v>
      </c>
      <c r="S76" s="40" t="s">
        <v>154</v>
      </c>
      <c r="T76" s="40" t="s">
        <v>275</v>
      </c>
      <c r="U76" s="40" t="s">
        <v>337</v>
      </c>
      <c r="V76" s="44" t="s">
        <v>46</v>
      </c>
      <c r="W76" s="40" t="str">
        <f>HYPERLINK("https://www.stromypodkontrolou.cz/map/tree/d41bce85-5010-4276-b929-4760db78c679/a65801f8-59f6-4ff1-9bba-47a7b7341174")</f>
        <v>https://www.stromypodkontrolou.cz/map/tree/d41bce85-5010-4276-b929-4760db78c679/a65801f8-59f6-4ff1-9bba-47a7b7341174</v>
      </c>
      <c r="X76" s="40">
        <v>-761503.90265199996</v>
      </c>
      <c r="Y76" s="40">
        <v>-992346.90892800002</v>
      </c>
      <c r="Z76" s="40" t="str">
        <f>HYPERLINK("https://www.mapy.cz?st=search&amp;fr=50.51527731 14.06274241")</f>
        <v>https://www.mapy.cz?st=search&amp;fr=50.51527731 14.06274241</v>
      </c>
      <c r="AA76" s="45" t="s">
        <v>38</v>
      </c>
      <c r="AB76" s="44">
        <v>1.3</v>
      </c>
      <c r="AC76" s="91" t="s">
        <v>445</v>
      </c>
      <c r="AD76" s="110"/>
    </row>
    <row r="77" spans="1:30" ht="35.1" customHeight="1" thickTop="1" x14ac:dyDescent="0.2">
      <c r="A77" s="24" t="s">
        <v>140</v>
      </c>
      <c r="B77" s="25" t="s">
        <v>340</v>
      </c>
      <c r="C77" s="26">
        <v>15815</v>
      </c>
      <c r="D77" s="27" t="s">
        <v>341</v>
      </c>
      <c r="E77" s="28" t="s">
        <v>27</v>
      </c>
      <c r="F77" s="25" t="s">
        <v>28</v>
      </c>
      <c r="G77" s="26" t="s">
        <v>57</v>
      </c>
      <c r="H77" s="26"/>
      <c r="I77" s="26"/>
      <c r="J77" s="26"/>
      <c r="K77" s="26" t="s">
        <v>214</v>
      </c>
      <c r="L77" s="26" t="s">
        <v>31</v>
      </c>
      <c r="M77" s="26" t="s">
        <v>51</v>
      </c>
      <c r="N77" s="26" t="s">
        <v>33</v>
      </c>
      <c r="O77" s="26" t="s">
        <v>34</v>
      </c>
      <c r="P77" s="26" t="s">
        <v>33</v>
      </c>
      <c r="Q77" s="26" t="s">
        <v>36</v>
      </c>
      <c r="R77" s="26" t="s">
        <v>33</v>
      </c>
      <c r="S77" s="25" t="s">
        <v>342</v>
      </c>
      <c r="T77" s="25" t="s">
        <v>339</v>
      </c>
      <c r="U77" s="25" t="s">
        <v>343</v>
      </c>
      <c r="V77" s="29" t="s">
        <v>46</v>
      </c>
      <c r="W77" s="25" t="str">
        <f>HYPERLINK("https://www.stromypodkontrolou.cz/map/tree/d41bce85-5010-4276-b929-4760db78c679/d4fbf6b1-08d3-4750-b5c1-e6ecd2772bd8")</f>
        <v>https://www.stromypodkontrolou.cz/map/tree/d41bce85-5010-4276-b929-4760db78c679/d4fbf6b1-08d3-4750-b5c1-e6ecd2772bd8</v>
      </c>
      <c r="X77" s="25">
        <v>-754363.77383399999</v>
      </c>
      <c r="Y77" s="25">
        <v>-991589.21246399998</v>
      </c>
      <c r="Z77" s="25" t="str">
        <f>HYPERLINK("https://www.mapy.cz?st=search&amp;fr=50.53103454 14.16093741")</f>
        <v>https://www.mapy.cz?st=search&amp;fr=50.53103454 14.16093741</v>
      </c>
      <c r="AA77" s="30" t="s">
        <v>38</v>
      </c>
      <c r="AB77" s="56">
        <v>0.8</v>
      </c>
      <c r="AC77" s="82" t="s">
        <v>445</v>
      </c>
      <c r="AD77" s="117"/>
    </row>
    <row r="78" spans="1:30" ht="35.1" customHeight="1" x14ac:dyDescent="0.2">
      <c r="A78" s="12" t="s">
        <v>140</v>
      </c>
      <c r="B78" s="13" t="s">
        <v>340</v>
      </c>
      <c r="C78" s="14">
        <v>15824</v>
      </c>
      <c r="D78" s="15" t="s">
        <v>345</v>
      </c>
      <c r="E78" s="16" t="s">
        <v>64</v>
      </c>
      <c r="F78" s="13" t="s">
        <v>65</v>
      </c>
      <c r="G78" s="14" t="s">
        <v>79</v>
      </c>
      <c r="H78" s="14" t="s">
        <v>29</v>
      </c>
      <c r="I78" s="14" t="s">
        <v>219</v>
      </c>
      <c r="J78" s="14"/>
      <c r="K78" s="14" t="s">
        <v>77</v>
      </c>
      <c r="L78" s="14" t="s">
        <v>106</v>
      </c>
      <c r="M78" s="14" t="s">
        <v>41</v>
      </c>
      <c r="N78" s="14" t="s">
        <v>33</v>
      </c>
      <c r="O78" s="14" t="s">
        <v>34</v>
      </c>
      <c r="P78" s="14" t="s">
        <v>36</v>
      </c>
      <c r="Q78" s="14" t="s">
        <v>36</v>
      </c>
      <c r="R78" s="14" t="s">
        <v>33</v>
      </c>
      <c r="S78" s="13" t="s">
        <v>346</v>
      </c>
      <c r="T78" s="13" t="s">
        <v>339</v>
      </c>
      <c r="U78" s="13" t="s">
        <v>344</v>
      </c>
      <c r="V78" s="17" t="s">
        <v>46</v>
      </c>
      <c r="W78" s="13" t="str">
        <f>HYPERLINK("https://www.stromypodkontrolou.cz/map/tree/d41bce85-5010-4276-b929-4760db78c679/ec1c9217-b802-4179-9045-986cef150f4e")</f>
        <v>https://www.stromypodkontrolou.cz/map/tree/d41bce85-5010-4276-b929-4760db78c679/ec1c9217-b802-4179-9045-986cef150f4e</v>
      </c>
      <c r="X78" s="13">
        <v>-754327.391176</v>
      </c>
      <c r="Y78" s="13">
        <v>-991583.33452200005</v>
      </c>
      <c r="Z78" s="13" t="str">
        <f>HYPERLINK("https://www.mapy.cz?st=search&amp;fr=50.53113257 14.16143395")</f>
        <v>https://www.mapy.cz?st=search&amp;fr=50.53113257 14.16143395</v>
      </c>
      <c r="AA78" s="18" t="s">
        <v>48</v>
      </c>
      <c r="AB78" s="56">
        <v>2.9</v>
      </c>
      <c r="AC78" s="82" t="s">
        <v>435</v>
      </c>
      <c r="AD78" s="115"/>
    </row>
    <row r="79" spans="1:30" ht="35.1" customHeight="1" thickBot="1" x14ac:dyDescent="0.25">
      <c r="A79" s="46" t="s">
        <v>140</v>
      </c>
      <c r="B79" s="47" t="s">
        <v>340</v>
      </c>
      <c r="C79" s="48">
        <v>15828</v>
      </c>
      <c r="D79" s="49"/>
      <c r="E79" s="50" t="s">
        <v>422</v>
      </c>
      <c r="F79" s="47" t="s">
        <v>438</v>
      </c>
      <c r="G79" s="48">
        <v>60</v>
      </c>
      <c r="H79" s="48">
        <v>25</v>
      </c>
      <c r="I79" s="48"/>
      <c r="J79" s="48"/>
      <c r="K79" s="48" t="s">
        <v>75</v>
      </c>
      <c r="L79" s="48"/>
      <c r="M79" s="48"/>
      <c r="N79" s="48"/>
      <c r="O79" s="48"/>
      <c r="P79" s="48"/>
      <c r="Q79" s="48"/>
      <c r="R79" s="48"/>
      <c r="S79" s="47"/>
      <c r="T79" s="47" t="s">
        <v>339</v>
      </c>
      <c r="U79" s="47" t="s">
        <v>344</v>
      </c>
      <c r="V79" s="62" t="s">
        <v>35</v>
      </c>
      <c r="W79" s="47" t="str">
        <f>HYPERLINK("https://www.stromypodkontrolou.cz/map/tree/d41bce85-5010-4276-b929-4760db78c679/c8368788-4c64-4cce-a634-6489907d88e9")</f>
        <v>https://www.stromypodkontrolou.cz/map/tree/d41bce85-5010-4276-b929-4760db78c679/c8368788-4c64-4cce-a634-6489907d88e9</v>
      </c>
      <c r="X79" s="47">
        <v>-754296.70037400001</v>
      </c>
      <c r="Y79" s="47">
        <v>-991582.21399650001</v>
      </c>
      <c r="Z79" s="47" t="str">
        <f>HYPERLINK("https://www.mapy.cz?st=search&amp;fr=50.53118111 14.16186038")</f>
        <v>https://www.mapy.cz?st=search&amp;fr=50.53118111 14.16186038</v>
      </c>
      <c r="AA79" s="63" t="s">
        <v>451</v>
      </c>
      <c r="AB79" s="62">
        <v>2.1</v>
      </c>
      <c r="AC79" s="92" t="s">
        <v>446</v>
      </c>
      <c r="AD79" s="111"/>
    </row>
    <row r="80" spans="1:30" ht="35.1" customHeight="1" thickTop="1" x14ac:dyDescent="0.2">
      <c r="A80" s="24" t="s">
        <v>140</v>
      </c>
      <c r="B80" s="25" t="s">
        <v>347</v>
      </c>
      <c r="C80" s="26">
        <v>15779</v>
      </c>
      <c r="D80" s="27" t="s">
        <v>348</v>
      </c>
      <c r="E80" s="28" t="s">
        <v>27</v>
      </c>
      <c r="F80" s="25" t="s">
        <v>28</v>
      </c>
      <c r="G80" s="26" t="s">
        <v>124</v>
      </c>
      <c r="H80" s="26"/>
      <c r="I80" s="26"/>
      <c r="J80" s="26"/>
      <c r="K80" s="26" t="s">
        <v>42</v>
      </c>
      <c r="L80" s="26" t="s">
        <v>63</v>
      </c>
      <c r="M80" s="26" t="s">
        <v>32</v>
      </c>
      <c r="N80" s="26" t="s">
        <v>36</v>
      </c>
      <c r="O80" s="26" t="s">
        <v>45</v>
      </c>
      <c r="P80" s="26" t="s">
        <v>46</v>
      </c>
      <c r="Q80" s="26" t="s">
        <v>36</v>
      </c>
      <c r="R80" s="26" t="s">
        <v>36</v>
      </c>
      <c r="S80" s="25" t="s">
        <v>349</v>
      </c>
      <c r="T80" s="25" t="s">
        <v>339</v>
      </c>
      <c r="U80" s="25" t="s">
        <v>350</v>
      </c>
      <c r="V80" s="29" t="s">
        <v>36</v>
      </c>
      <c r="W80" s="25" t="str">
        <f>HYPERLINK("https://www.stromypodkontrolou.cz/map/tree/d41bce85-5010-4276-b929-4760db78c679/ec524a20-dce0-4683-a0cd-0ad4b4a0e4a4")</f>
        <v>https://www.stromypodkontrolou.cz/map/tree/d41bce85-5010-4276-b929-4760db78c679/ec524a20-dce0-4683-a0cd-0ad4b4a0e4a4</v>
      </c>
      <c r="X80" s="25">
        <v>-753594.69799400005</v>
      </c>
      <c r="Y80" s="25">
        <v>-992019.27945399994</v>
      </c>
      <c r="Z80" s="25" t="str">
        <f>HYPERLINK("https://www.mapy.cz?st=search&amp;fr=50.52817180 14.17252556")</f>
        <v>https://www.mapy.cz?st=search&amp;fr=50.52817180 14.17252556</v>
      </c>
      <c r="AA80" s="30" t="s">
        <v>38</v>
      </c>
      <c r="AB80" s="56">
        <v>0.2</v>
      </c>
      <c r="AC80" s="82" t="s">
        <v>445</v>
      </c>
      <c r="AD80" s="117"/>
    </row>
    <row r="81" spans="1:30" ht="35.1" customHeight="1" thickBot="1" x14ac:dyDescent="0.25">
      <c r="A81" s="46" t="s">
        <v>140</v>
      </c>
      <c r="B81" s="47" t="s">
        <v>347</v>
      </c>
      <c r="C81" s="48">
        <v>15784</v>
      </c>
      <c r="D81" s="49" t="s">
        <v>351</v>
      </c>
      <c r="E81" s="50" t="s">
        <v>27</v>
      </c>
      <c r="F81" s="47" t="s">
        <v>28</v>
      </c>
      <c r="G81" s="48" t="s">
        <v>83</v>
      </c>
      <c r="H81" s="48"/>
      <c r="I81" s="48"/>
      <c r="J81" s="48"/>
      <c r="K81" s="48" t="s">
        <v>75</v>
      </c>
      <c r="L81" s="48" t="s">
        <v>116</v>
      </c>
      <c r="M81" s="48" t="s">
        <v>97</v>
      </c>
      <c r="N81" s="48" t="s">
        <v>33</v>
      </c>
      <c r="O81" s="48" t="s">
        <v>34</v>
      </c>
      <c r="P81" s="48" t="s">
        <v>33</v>
      </c>
      <c r="Q81" s="48" t="s">
        <v>33</v>
      </c>
      <c r="R81" s="48" t="s">
        <v>33</v>
      </c>
      <c r="S81" s="47" t="s">
        <v>352</v>
      </c>
      <c r="T81" s="47" t="s">
        <v>339</v>
      </c>
      <c r="U81" s="47" t="s">
        <v>350</v>
      </c>
      <c r="V81" s="44" t="s">
        <v>46</v>
      </c>
      <c r="W81" s="47" t="str">
        <f>HYPERLINK("https://www.stromypodkontrolou.cz/map/tree/d41bce85-5010-4276-b929-4760db78c679/877ccbc6-acad-4d6d-87bc-31891f617767")</f>
        <v>https://www.stromypodkontrolou.cz/map/tree/d41bce85-5010-4276-b929-4760db78c679/877ccbc6-acad-4d6d-87bc-31891f617767</v>
      </c>
      <c r="X81" s="47">
        <v>-753941.32851599995</v>
      </c>
      <c r="Y81" s="47">
        <v>-991862.61320300004</v>
      </c>
      <c r="Z81" s="47" t="str">
        <f>HYPERLINK("https://www.mapy.cz?st=search&amp;fr=50.52913132 14.16737605")</f>
        <v>https://www.mapy.cz?st=search&amp;fr=50.52913132 14.16737605</v>
      </c>
      <c r="AA81" s="45" t="s">
        <v>38</v>
      </c>
      <c r="AB81" s="44">
        <v>0.7</v>
      </c>
      <c r="AC81" s="91" t="s">
        <v>445</v>
      </c>
      <c r="AD81" s="111"/>
    </row>
    <row r="82" spans="1:30" ht="35.1" customHeight="1" thickTop="1" x14ac:dyDescent="0.2">
      <c r="A82" s="24" t="s">
        <v>26</v>
      </c>
      <c r="B82" s="25" t="s">
        <v>356</v>
      </c>
      <c r="C82" s="26">
        <v>10540</v>
      </c>
      <c r="D82" s="27" t="s">
        <v>357</v>
      </c>
      <c r="E82" s="28" t="s">
        <v>99</v>
      </c>
      <c r="F82" s="25" t="s">
        <v>100</v>
      </c>
      <c r="G82" s="26" t="s">
        <v>234</v>
      </c>
      <c r="H82" s="26"/>
      <c r="I82" s="26"/>
      <c r="J82" s="26"/>
      <c r="K82" s="26" t="s">
        <v>58</v>
      </c>
      <c r="L82" s="26" t="s">
        <v>116</v>
      </c>
      <c r="M82" s="26" t="s">
        <v>50</v>
      </c>
      <c r="N82" s="26" t="s">
        <v>33</v>
      </c>
      <c r="O82" s="26" t="s">
        <v>34</v>
      </c>
      <c r="P82" s="26" t="s">
        <v>35</v>
      </c>
      <c r="Q82" s="26" t="s">
        <v>33</v>
      </c>
      <c r="R82" s="26" t="s">
        <v>33</v>
      </c>
      <c r="S82" s="25" t="s">
        <v>230</v>
      </c>
      <c r="T82" s="25" t="s">
        <v>353</v>
      </c>
      <c r="U82" s="25" t="s">
        <v>354</v>
      </c>
      <c r="V82" s="29" t="s">
        <v>46</v>
      </c>
      <c r="W82" s="25" t="str">
        <f>HYPERLINK("https://www.stromypodkontrolou.cz/map/tree/d41bce85-5010-4276-b929-4760db78c679/dceb1cf0-fe75-42bf-8819-9353102bf940")</f>
        <v>https://www.stromypodkontrolou.cz/map/tree/d41bce85-5010-4276-b929-4760db78c679/dceb1cf0-fe75-42bf-8819-9353102bf940</v>
      </c>
      <c r="X82" s="25">
        <v>-750428.78673399996</v>
      </c>
      <c r="Y82" s="25">
        <v>-993984.36041600001</v>
      </c>
      <c r="Z82" s="25" t="str">
        <f>HYPERLINK("https://www.mapy.cz?st=search&amp;fr=50.51464179 14.22059510")</f>
        <v>https://www.mapy.cz?st=search&amp;fr=50.51464179 14.22059510</v>
      </c>
      <c r="AA82" s="30" t="s">
        <v>38</v>
      </c>
      <c r="AB82" s="56">
        <v>3.6</v>
      </c>
      <c r="AC82" s="82" t="s">
        <v>448</v>
      </c>
      <c r="AD82" s="115"/>
    </row>
    <row r="83" spans="1:30" ht="35.1" customHeight="1" x14ac:dyDescent="0.2">
      <c r="A83" s="12" t="s">
        <v>26</v>
      </c>
      <c r="B83" s="13" t="s">
        <v>356</v>
      </c>
      <c r="C83" s="14">
        <v>10551</v>
      </c>
      <c r="D83" s="15" t="s">
        <v>358</v>
      </c>
      <c r="E83" s="16" t="s">
        <v>64</v>
      </c>
      <c r="F83" s="13" t="s">
        <v>65</v>
      </c>
      <c r="G83" s="14" t="s">
        <v>136</v>
      </c>
      <c r="H83" s="14" t="s">
        <v>55</v>
      </c>
      <c r="I83" s="14" t="s">
        <v>72</v>
      </c>
      <c r="J83" s="14"/>
      <c r="K83" s="14" t="s">
        <v>102</v>
      </c>
      <c r="L83" s="14" t="s">
        <v>43</v>
      </c>
      <c r="M83" s="14" t="s">
        <v>49</v>
      </c>
      <c r="N83" s="14" t="s">
        <v>33</v>
      </c>
      <c r="O83" s="14" t="s">
        <v>34</v>
      </c>
      <c r="P83" s="14" t="s">
        <v>35</v>
      </c>
      <c r="Q83" s="14" t="s">
        <v>33</v>
      </c>
      <c r="R83" s="14" t="s">
        <v>33</v>
      </c>
      <c r="S83" s="13" t="s">
        <v>88</v>
      </c>
      <c r="T83" s="13" t="s">
        <v>353</v>
      </c>
      <c r="U83" s="13" t="s">
        <v>355</v>
      </c>
      <c r="V83" s="17" t="s">
        <v>46</v>
      </c>
      <c r="W83" s="13" t="str">
        <f>HYPERLINK("https://www.stromypodkontrolou.cz/map/tree/d41bce85-5010-4276-b929-4760db78c679/e53196ba-4cb4-4f30-b96b-0d9a447cb71a")</f>
        <v>https://www.stromypodkontrolou.cz/map/tree/d41bce85-5010-4276-b929-4760db78c679/e53196ba-4cb4-4f30-b96b-0d9a447cb71a</v>
      </c>
      <c r="X83" s="13">
        <v>-750396.18735300004</v>
      </c>
      <c r="Y83" s="13">
        <v>-994351.16188599996</v>
      </c>
      <c r="Z83" s="13" t="str">
        <f>HYPERLINK("https://www.mapy.cz?st=search&amp;fr=50.51141688 14.22176890")</f>
        <v>https://www.mapy.cz?st=search&amp;fr=50.51141688 14.22176890</v>
      </c>
      <c r="AA83" s="18" t="s">
        <v>48</v>
      </c>
      <c r="AB83" s="56">
        <v>1</v>
      </c>
      <c r="AC83" s="82" t="s">
        <v>432</v>
      </c>
      <c r="AD83" s="110"/>
    </row>
    <row r="84" spans="1:30" ht="35.1" customHeight="1" x14ac:dyDescent="0.2">
      <c r="A84" s="12" t="s">
        <v>26</v>
      </c>
      <c r="B84" s="13" t="s">
        <v>356</v>
      </c>
      <c r="C84" s="14">
        <v>10554</v>
      </c>
      <c r="D84" s="15" t="s">
        <v>359</v>
      </c>
      <c r="E84" s="16" t="s">
        <v>99</v>
      </c>
      <c r="F84" s="13" t="s">
        <v>100</v>
      </c>
      <c r="G84" s="14" t="s">
        <v>122</v>
      </c>
      <c r="H84" s="14"/>
      <c r="I84" s="14"/>
      <c r="J84" s="14"/>
      <c r="K84" s="14" t="s">
        <v>42</v>
      </c>
      <c r="L84" s="14" t="s">
        <v>106</v>
      </c>
      <c r="M84" s="14" t="s">
        <v>50</v>
      </c>
      <c r="N84" s="14" t="s">
        <v>36</v>
      </c>
      <c r="O84" s="14" t="s">
        <v>45</v>
      </c>
      <c r="P84" s="14" t="s">
        <v>35</v>
      </c>
      <c r="Q84" s="14" t="s">
        <v>36</v>
      </c>
      <c r="R84" s="14" t="s">
        <v>36</v>
      </c>
      <c r="S84" s="13" t="s">
        <v>223</v>
      </c>
      <c r="T84" s="13" t="s">
        <v>353</v>
      </c>
      <c r="U84" s="13" t="s">
        <v>355</v>
      </c>
      <c r="V84" s="17" t="s">
        <v>36</v>
      </c>
      <c r="W84" s="13" t="str">
        <f>HYPERLINK("https://www.stromypodkontrolou.cz/map/tree/d41bce85-5010-4276-b929-4760db78c679/8f369d63-7589-4a90-b6a1-446ade5d4e8e")</f>
        <v>https://www.stromypodkontrolou.cz/map/tree/d41bce85-5010-4276-b929-4760db78c679/8f369d63-7589-4a90-b6a1-446ade5d4e8e</v>
      </c>
      <c r="X84" s="13">
        <v>-750391.56910600001</v>
      </c>
      <c r="Y84" s="13">
        <v>-994386.53472500003</v>
      </c>
      <c r="Z84" s="13" t="str">
        <f>HYPERLINK("https://www.mapy.cz?st=search&amp;fr=50.51110773 14.22190268")</f>
        <v>https://www.mapy.cz?st=search&amp;fr=50.51110773 14.22190268</v>
      </c>
      <c r="AA84" s="18" t="s">
        <v>38</v>
      </c>
      <c r="AB84" s="17">
        <v>0.6</v>
      </c>
      <c r="AC84" s="83" t="s">
        <v>446</v>
      </c>
      <c r="AD84" s="115"/>
    </row>
    <row r="85" spans="1:30" ht="35.1" customHeight="1" x14ac:dyDescent="0.2">
      <c r="A85" s="12" t="s">
        <v>26</v>
      </c>
      <c r="B85" s="13" t="s">
        <v>356</v>
      </c>
      <c r="C85" s="14">
        <v>10569</v>
      </c>
      <c r="D85" s="15" t="s">
        <v>360</v>
      </c>
      <c r="E85" s="16" t="s">
        <v>112</v>
      </c>
      <c r="F85" s="13" t="s">
        <v>113</v>
      </c>
      <c r="G85" s="14" t="s">
        <v>94</v>
      </c>
      <c r="H85" s="14"/>
      <c r="I85" s="14"/>
      <c r="J85" s="14"/>
      <c r="K85" s="14" t="s">
        <v>77</v>
      </c>
      <c r="L85" s="14" t="s">
        <v>116</v>
      </c>
      <c r="M85" s="14" t="s">
        <v>50</v>
      </c>
      <c r="N85" s="14" t="s">
        <v>33</v>
      </c>
      <c r="O85" s="14" t="s">
        <v>34</v>
      </c>
      <c r="P85" s="14" t="s">
        <v>33</v>
      </c>
      <c r="Q85" s="14" t="s">
        <v>36</v>
      </c>
      <c r="R85" s="14" t="s">
        <v>36</v>
      </c>
      <c r="S85" s="13" t="s">
        <v>154</v>
      </c>
      <c r="T85" s="13" t="s">
        <v>353</v>
      </c>
      <c r="U85" s="13" t="s">
        <v>355</v>
      </c>
      <c r="V85" s="17" t="s">
        <v>46</v>
      </c>
      <c r="W85" s="13" t="str">
        <f>HYPERLINK("https://www.stromypodkontrolou.cz/map/tree/d41bce85-5010-4276-b929-4760db78c679/08e0ec9a-a22f-40bf-b891-e81eb7736bde")</f>
        <v>https://www.stromypodkontrolou.cz/map/tree/d41bce85-5010-4276-b929-4760db78c679/08e0ec9a-a22f-40bf-b891-e81eb7736bde</v>
      </c>
      <c r="X85" s="13">
        <v>-750397.34627600003</v>
      </c>
      <c r="Y85" s="13">
        <v>-994547.68858800002</v>
      </c>
      <c r="Z85" s="13" t="str">
        <f>HYPERLINK("https://www.mapy.cz?st=search&amp;fr=50.50966576 14.22213771")</f>
        <v>https://www.mapy.cz?st=search&amp;fr=50.50966576 14.22213771</v>
      </c>
      <c r="AA85" s="18" t="s">
        <v>69</v>
      </c>
      <c r="AB85" s="17">
        <v>1.4</v>
      </c>
      <c r="AC85" s="83" t="s">
        <v>436</v>
      </c>
      <c r="AD85" s="110"/>
    </row>
    <row r="86" spans="1:30" ht="35.1" customHeight="1" x14ac:dyDescent="0.2">
      <c r="A86" s="12" t="s">
        <v>26</v>
      </c>
      <c r="B86" s="13" t="s">
        <v>356</v>
      </c>
      <c r="C86" s="14">
        <v>10585</v>
      </c>
      <c r="D86" s="15" t="s">
        <v>361</v>
      </c>
      <c r="E86" s="16" t="s">
        <v>27</v>
      </c>
      <c r="F86" s="13" t="s">
        <v>28</v>
      </c>
      <c r="G86" s="14" t="s">
        <v>103</v>
      </c>
      <c r="H86" s="14" t="s">
        <v>109</v>
      </c>
      <c r="I86" s="14"/>
      <c r="J86" s="14"/>
      <c r="K86" s="14" t="s">
        <v>68</v>
      </c>
      <c r="L86" s="14" t="s">
        <v>106</v>
      </c>
      <c r="M86" s="14" t="s">
        <v>50</v>
      </c>
      <c r="N86" s="14" t="s">
        <v>36</v>
      </c>
      <c r="O86" s="14" t="s">
        <v>45</v>
      </c>
      <c r="P86" s="14" t="s">
        <v>46</v>
      </c>
      <c r="Q86" s="14" t="s">
        <v>36</v>
      </c>
      <c r="R86" s="14" t="s">
        <v>36</v>
      </c>
      <c r="S86" s="13" t="s">
        <v>180</v>
      </c>
      <c r="T86" s="13" t="s">
        <v>353</v>
      </c>
      <c r="U86" s="13" t="s">
        <v>362</v>
      </c>
      <c r="V86" s="17" t="s">
        <v>36</v>
      </c>
      <c r="W86" s="13" t="str">
        <f>HYPERLINK("https://www.stromypodkontrolou.cz/map/tree/d41bce85-5010-4276-b929-4760db78c679/e07824ae-c3ea-45b7-8c4d-62e062f9591e")</f>
        <v>https://www.stromypodkontrolou.cz/map/tree/d41bce85-5010-4276-b929-4760db78c679/e07824ae-c3ea-45b7-8c4d-62e062f9591e</v>
      </c>
      <c r="X86" s="13">
        <v>-750388.73004000005</v>
      </c>
      <c r="Y86" s="13">
        <v>-994721.28478999995</v>
      </c>
      <c r="Z86" s="13" t="str">
        <f>HYPERLINK("https://www.mapy.cz?st=search&amp;fr=50.50813099 14.22259804")</f>
        <v>https://www.mapy.cz?st=search&amp;fr=50.50813099 14.22259804</v>
      </c>
      <c r="AA86" s="18" t="s">
        <v>38</v>
      </c>
      <c r="AB86" s="56">
        <v>0.5</v>
      </c>
      <c r="AC86" s="82" t="s">
        <v>445</v>
      </c>
      <c r="AD86" s="110"/>
    </row>
    <row r="87" spans="1:30" ht="35.1" customHeight="1" x14ac:dyDescent="0.2">
      <c r="A87" s="12" t="s">
        <v>26</v>
      </c>
      <c r="B87" s="13" t="s">
        <v>356</v>
      </c>
      <c r="C87" s="14">
        <v>10589</v>
      </c>
      <c r="D87" s="15" t="s">
        <v>363</v>
      </c>
      <c r="E87" s="16" t="s">
        <v>27</v>
      </c>
      <c r="F87" s="13" t="s">
        <v>28</v>
      </c>
      <c r="G87" s="14" t="s">
        <v>66</v>
      </c>
      <c r="H87" s="14" t="s">
        <v>110</v>
      </c>
      <c r="I87" s="14"/>
      <c r="J87" s="14"/>
      <c r="K87" s="14" t="s">
        <v>77</v>
      </c>
      <c r="L87" s="14" t="s">
        <v>78</v>
      </c>
      <c r="M87" s="14" t="s">
        <v>52</v>
      </c>
      <c r="N87" s="14" t="s">
        <v>36</v>
      </c>
      <c r="O87" s="14" t="s">
        <v>45</v>
      </c>
      <c r="P87" s="14" t="s">
        <v>46</v>
      </c>
      <c r="Q87" s="14" t="s">
        <v>36</v>
      </c>
      <c r="R87" s="14" t="s">
        <v>36</v>
      </c>
      <c r="S87" s="13" t="s">
        <v>59</v>
      </c>
      <c r="T87" s="13" t="s">
        <v>353</v>
      </c>
      <c r="U87" s="13" t="s">
        <v>362</v>
      </c>
      <c r="V87" s="17" t="s">
        <v>35</v>
      </c>
      <c r="W87" s="13" t="str">
        <f>HYPERLINK("https://www.stromypodkontrolou.cz/map/tree/d41bce85-5010-4276-b929-4760db78c679/7bd4e585-9fd5-4bd3-9b2e-7af992040de2")</f>
        <v>https://www.stromypodkontrolou.cz/map/tree/d41bce85-5010-4276-b929-4760db78c679/7bd4e585-9fd5-4bd3-9b2e-7af992040de2</v>
      </c>
      <c r="X87" s="13">
        <v>-750391.09308899997</v>
      </c>
      <c r="Y87" s="13">
        <v>-994774.07397699996</v>
      </c>
      <c r="Z87" s="13" t="str">
        <f>HYPERLINK("https://www.mapy.cz?st=search&amp;fr=50.50765805 14.22266845")</f>
        <v>https://www.mapy.cz?st=search&amp;fr=50.50765805 14.22266845</v>
      </c>
      <c r="AA87" s="18" t="s">
        <v>38</v>
      </c>
      <c r="AB87" s="56">
        <v>0.7</v>
      </c>
      <c r="AC87" s="82" t="s">
        <v>445</v>
      </c>
      <c r="AD87" s="110"/>
    </row>
    <row r="88" spans="1:30" ht="35.1" customHeight="1" x14ac:dyDescent="0.2">
      <c r="A88" s="12" t="s">
        <v>26</v>
      </c>
      <c r="B88" s="13" t="s">
        <v>356</v>
      </c>
      <c r="C88" s="14">
        <v>10592</v>
      </c>
      <c r="D88" s="15" t="s">
        <v>364</v>
      </c>
      <c r="E88" s="16" t="s">
        <v>27</v>
      </c>
      <c r="F88" s="13" t="s">
        <v>28</v>
      </c>
      <c r="G88" s="14" t="s">
        <v>83</v>
      </c>
      <c r="H88" s="14" t="s">
        <v>56</v>
      </c>
      <c r="I88" s="14"/>
      <c r="J88" s="14"/>
      <c r="K88" s="14" t="s">
        <v>75</v>
      </c>
      <c r="L88" s="14" t="s">
        <v>78</v>
      </c>
      <c r="M88" s="14" t="s">
        <v>50</v>
      </c>
      <c r="N88" s="14" t="s">
        <v>36</v>
      </c>
      <c r="O88" s="14" t="s">
        <v>45</v>
      </c>
      <c r="P88" s="14" t="s">
        <v>35</v>
      </c>
      <c r="Q88" s="14" t="s">
        <v>36</v>
      </c>
      <c r="R88" s="14" t="s">
        <v>36</v>
      </c>
      <c r="S88" s="13" t="s">
        <v>180</v>
      </c>
      <c r="T88" s="13" t="s">
        <v>353</v>
      </c>
      <c r="U88" s="13" t="s">
        <v>362</v>
      </c>
      <c r="V88" s="17" t="s">
        <v>35</v>
      </c>
      <c r="W88" s="13" t="str">
        <f>HYPERLINK("https://www.stromypodkontrolou.cz/map/tree/d41bce85-5010-4276-b929-4760db78c679/5034a34b-fad9-4cdb-8128-eae2a4f4bfda")</f>
        <v>https://www.stromypodkontrolou.cz/map/tree/d41bce85-5010-4276-b929-4760db78c679/5034a34b-fad9-4cdb-8128-eae2a4f4bfda</v>
      </c>
      <c r="X88" s="13">
        <v>-750389.91491299996</v>
      </c>
      <c r="Y88" s="13">
        <v>-994781.42426</v>
      </c>
      <c r="Z88" s="13" t="str">
        <f>HYPERLINK("https://www.mapy.cz?st=search&amp;fr=50.50759408 14.22269929")</f>
        <v>https://www.mapy.cz?st=search&amp;fr=50.50759408 14.22269929</v>
      </c>
      <c r="AA88" s="18" t="s">
        <v>38</v>
      </c>
      <c r="AB88" s="17">
        <v>1.6</v>
      </c>
      <c r="AC88" s="83" t="s">
        <v>446</v>
      </c>
      <c r="AD88" s="110"/>
    </row>
    <row r="89" spans="1:30" ht="35.1" customHeight="1" thickBot="1" x14ac:dyDescent="0.25">
      <c r="A89" s="46" t="s">
        <v>26</v>
      </c>
      <c r="B89" s="47" t="s">
        <v>356</v>
      </c>
      <c r="C89" s="48">
        <v>10597</v>
      </c>
      <c r="D89" s="49" t="s">
        <v>365</v>
      </c>
      <c r="E89" s="50" t="s">
        <v>27</v>
      </c>
      <c r="F89" s="47" t="s">
        <v>28</v>
      </c>
      <c r="G89" s="48" t="s">
        <v>222</v>
      </c>
      <c r="H89" s="48" t="s">
        <v>124</v>
      </c>
      <c r="I89" s="48"/>
      <c r="J89" s="48"/>
      <c r="K89" s="48" t="s">
        <v>58</v>
      </c>
      <c r="L89" s="48" t="s">
        <v>78</v>
      </c>
      <c r="M89" s="48" t="s">
        <v>50</v>
      </c>
      <c r="N89" s="48" t="s">
        <v>36</v>
      </c>
      <c r="O89" s="48" t="s">
        <v>45</v>
      </c>
      <c r="P89" s="48" t="s">
        <v>35</v>
      </c>
      <c r="Q89" s="48" t="s">
        <v>35</v>
      </c>
      <c r="R89" s="48" t="s">
        <v>35</v>
      </c>
      <c r="S89" s="47" t="s">
        <v>117</v>
      </c>
      <c r="T89" s="47" t="s">
        <v>353</v>
      </c>
      <c r="U89" s="47" t="s">
        <v>366</v>
      </c>
      <c r="V89" s="44" t="s">
        <v>36</v>
      </c>
      <c r="W89" s="47" t="str">
        <f>HYPERLINK("https://www.stromypodkontrolou.cz/map/tree/d41bce85-5010-4276-b929-4760db78c679/757ded53-c900-46fc-a21a-3d719eb64847")</f>
        <v>https://www.stromypodkontrolou.cz/map/tree/d41bce85-5010-4276-b929-4760db78c679/757ded53-c900-46fc-a21a-3d719eb64847</v>
      </c>
      <c r="X89" s="47">
        <v>-750390.48476999998</v>
      </c>
      <c r="Y89" s="47">
        <v>-994799.52237200004</v>
      </c>
      <c r="Z89" s="47" t="str">
        <f>HYPERLINK("https://www.mapy.cz?st=search&amp;fr=50.50743224 14.22272679")</f>
        <v>https://www.mapy.cz?st=search&amp;fr=50.50743224 14.22272679</v>
      </c>
      <c r="AA89" s="45" t="s">
        <v>38</v>
      </c>
      <c r="AB89" s="44">
        <v>1.7</v>
      </c>
      <c r="AC89" s="91" t="s">
        <v>446</v>
      </c>
      <c r="AD89" s="111"/>
    </row>
    <row r="90" spans="1:30" ht="35.1" customHeight="1" thickTop="1" thickBot="1" x14ac:dyDescent="0.25">
      <c r="A90" s="64" t="s">
        <v>140</v>
      </c>
      <c r="B90" s="65" t="s">
        <v>367</v>
      </c>
      <c r="C90" s="66">
        <v>15980</v>
      </c>
      <c r="D90" s="67" t="s">
        <v>370</v>
      </c>
      <c r="E90" s="68" t="s">
        <v>27</v>
      </c>
      <c r="F90" s="65" t="s">
        <v>28</v>
      </c>
      <c r="G90" s="66" t="s">
        <v>55</v>
      </c>
      <c r="H90" s="66"/>
      <c r="I90" s="66"/>
      <c r="J90" s="66"/>
      <c r="K90" s="66" t="s">
        <v>68</v>
      </c>
      <c r="L90" s="66" t="s">
        <v>63</v>
      </c>
      <c r="M90" s="66" t="s">
        <v>51</v>
      </c>
      <c r="N90" s="66" t="s">
        <v>33</v>
      </c>
      <c r="O90" s="66" t="s">
        <v>34</v>
      </c>
      <c r="P90" s="66" t="s">
        <v>35</v>
      </c>
      <c r="Q90" s="66" t="s">
        <v>33</v>
      </c>
      <c r="R90" s="66" t="s">
        <v>33</v>
      </c>
      <c r="S90" s="65" t="s">
        <v>371</v>
      </c>
      <c r="T90" s="65" t="s">
        <v>368</v>
      </c>
      <c r="U90" s="65" t="s">
        <v>369</v>
      </c>
      <c r="V90" s="37" t="s">
        <v>46</v>
      </c>
      <c r="W90" s="65" t="str">
        <f>HYPERLINK("https://www.stromypodkontrolou.cz/map/tree/d41bce85-5010-4276-b929-4760db78c679/47db342d-8b0e-4332-a2d9-ca077fe971c4")</f>
        <v>https://www.stromypodkontrolou.cz/map/tree/d41bce85-5010-4276-b929-4760db78c679/47db342d-8b0e-4332-a2d9-ca077fe971c4</v>
      </c>
      <c r="X90" s="65">
        <v>-749935.38400800002</v>
      </c>
      <c r="Y90" s="65">
        <v>-996624.47060600005</v>
      </c>
      <c r="Z90" s="65" t="str">
        <f>HYPERLINK("https://www.mapy.cz?st=search&amp;fr=50.49175266 14.23265163")</f>
        <v>https://www.mapy.cz?st=search&amp;fr=50.49175266 14.23265163</v>
      </c>
      <c r="AA90" s="38" t="s">
        <v>38</v>
      </c>
      <c r="AB90" s="37">
        <v>0.8</v>
      </c>
      <c r="AC90" s="93" t="s">
        <v>446</v>
      </c>
      <c r="AD90" s="115"/>
    </row>
    <row r="91" spans="1:30" ht="35.1" customHeight="1" thickTop="1" thickBot="1" x14ac:dyDescent="0.25">
      <c r="A91" s="32" t="s">
        <v>140</v>
      </c>
      <c r="B91" s="33" t="s">
        <v>372</v>
      </c>
      <c r="C91" s="34">
        <v>15024</v>
      </c>
      <c r="D91" s="35" t="s">
        <v>374</v>
      </c>
      <c r="E91" s="36" t="s">
        <v>141</v>
      </c>
      <c r="F91" s="33" t="s">
        <v>142</v>
      </c>
      <c r="G91" s="34" t="s">
        <v>136</v>
      </c>
      <c r="H91" s="34" t="s">
        <v>84</v>
      </c>
      <c r="I91" s="34" t="s">
        <v>73</v>
      </c>
      <c r="J91" s="34" t="s">
        <v>122</v>
      </c>
      <c r="K91" s="34" t="s">
        <v>75</v>
      </c>
      <c r="L91" s="34" t="s">
        <v>102</v>
      </c>
      <c r="M91" s="34" t="s">
        <v>50</v>
      </c>
      <c r="N91" s="34" t="s">
        <v>33</v>
      </c>
      <c r="O91" s="34" t="s">
        <v>34</v>
      </c>
      <c r="P91" s="34" t="s">
        <v>35</v>
      </c>
      <c r="Q91" s="34" t="s">
        <v>36</v>
      </c>
      <c r="R91" s="34" t="s">
        <v>36</v>
      </c>
      <c r="S91" s="33" t="s">
        <v>375</v>
      </c>
      <c r="T91" s="33" t="s">
        <v>373</v>
      </c>
      <c r="U91" s="33" t="s">
        <v>376</v>
      </c>
      <c r="V91" s="37" t="s">
        <v>46</v>
      </c>
      <c r="W91" s="33" t="str">
        <f>HYPERLINK("https://www.stromypodkontrolou.cz/map/tree/d41bce85-5010-4276-b929-4760db78c679/205eec14-a92e-43a0-9fa2-ee480579ba58")</f>
        <v>https://www.stromypodkontrolou.cz/map/tree/d41bce85-5010-4276-b929-4760db78c679/205eec14-a92e-43a0-9fa2-ee480579ba58</v>
      </c>
      <c r="X91" s="33">
        <v>-759033.18495400005</v>
      </c>
      <c r="Y91" s="33">
        <v>-980633.37551899999</v>
      </c>
      <c r="Z91" s="33" t="str">
        <f>HYPERLINK("https://www.mapy.cz?st=search&amp;fr=50.62266319 14.07396007")</f>
        <v>https://www.mapy.cz?st=search&amp;fr=50.62266319 14.07396007</v>
      </c>
      <c r="AA91" s="38" t="s">
        <v>38</v>
      </c>
      <c r="AB91" s="37">
        <v>2.6</v>
      </c>
      <c r="AC91" s="94" t="s">
        <v>448</v>
      </c>
      <c r="AD91" s="118"/>
    </row>
    <row r="92" spans="1:30" ht="35.1" customHeight="1" thickTop="1" x14ac:dyDescent="0.2">
      <c r="A92" s="57" t="s">
        <v>140</v>
      </c>
      <c r="B92" s="52" t="s">
        <v>377</v>
      </c>
      <c r="C92" s="53">
        <v>16228</v>
      </c>
      <c r="D92" s="54" t="s">
        <v>378</v>
      </c>
      <c r="E92" s="55" t="s">
        <v>64</v>
      </c>
      <c r="F92" s="52" t="s">
        <v>65</v>
      </c>
      <c r="G92" s="53" t="s">
        <v>217</v>
      </c>
      <c r="H92" s="53"/>
      <c r="I92" s="53"/>
      <c r="J92" s="53"/>
      <c r="K92" s="53" t="s">
        <v>102</v>
      </c>
      <c r="L92" s="53" t="s">
        <v>63</v>
      </c>
      <c r="M92" s="53" t="s">
        <v>52</v>
      </c>
      <c r="N92" s="53" t="s">
        <v>33</v>
      </c>
      <c r="O92" s="53" t="s">
        <v>45</v>
      </c>
      <c r="P92" s="53" t="s">
        <v>46</v>
      </c>
      <c r="Q92" s="53" t="s">
        <v>35</v>
      </c>
      <c r="R92" s="53" t="s">
        <v>36</v>
      </c>
      <c r="S92" s="52" t="s">
        <v>379</v>
      </c>
      <c r="T92" s="52" t="s">
        <v>275</v>
      </c>
      <c r="U92" s="52" t="s">
        <v>380</v>
      </c>
      <c r="V92" s="56" t="s">
        <v>36</v>
      </c>
      <c r="W92" s="52" t="str">
        <f>HYPERLINK("https://www.stromypodkontrolou.cz/map/tree/d41bce85-5010-4276-b929-4760db78c679/d8aecb32-cf37-49f3-a373-d229ccfc4b54")</f>
        <v>https://www.stromypodkontrolou.cz/map/tree/d41bce85-5010-4276-b929-4760db78c679/d8aecb32-cf37-49f3-a373-d229ccfc4b54</v>
      </c>
      <c r="X92" s="52">
        <v>-761018.80381299998</v>
      </c>
      <c r="Y92" s="52">
        <v>-992265.41389199998</v>
      </c>
      <c r="Z92" s="52" t="str">
        <f>HYPERLINK("https://www.mapy.cz?st=search&amp;fr=50.51661764 14.06935204")</f>
        <v>https://www.mapy.cz?st=search&amp;fr=50.51661764 14.06935204</v>
      </c>
      <c r="AA92" s="31" t="s">
        <v>38</v>
      </c>
      <c r="AB92" s="56">
        <v>0.5</v>
      </c>
      <c r="AC92" s="93" t="s">
        <v>446</v>
      </c>
      <c r="AD92" s="115"/>
    </row>
    <row r="93" spans="1:30" ht="35.1" customHeight="1" x14ac:dyDescent="0.2">
      <c r="A93" s="19" t="s">
        <v>140</v>
      </c>
      <c r="B93" s="20" t="s">
        <v>377</v>
      </c>
      <c r="C93" s="21">
        <v>16241</v>
      </c>
      <c r="D93" s="22" t="s">
        <v>381</v>
      </c>
      <c r="E93" s="23" t="s">
        <v>112</v>
      </c>
      <c r="F93" s="20" t="s">
        <v>113</v>
      </c>
      <c r="G93" s="21" t="s">
        <v>382</v>
      </c>
      <c r="H93" s="21"/>
      <c r="I93" s="21"/>
      <c r="J93" s="21"/>
      <c r="K93" s="21" t="s">
        <v>30</v>
      </c>
      <c r="L93" s="21" t="s">
        <v>62</v>
      </c>
      <c r="M93" s="21" t="s">
        <v>49</v>
      </c>
      <c r="N93" s="21" t="s">
        <v>97</v>
      </c>
      <c r="O93" s="21" t="s">
        <v>34</v>
      </c>
      <c r="P93" s="21" t="s">
        <v>46</v>
      </c>
      <c r="Q93" s="21" t="s">
        <v>36</v>
      </c>
      <c r="R93" s="21" t="s">
        <v>33</v>
      </c>
      <c r="S93" s="20" t="s">
        <v>383</v>
      </c>
      <c r="T93" s="20" t="s">
        <v>275</v>
      </c>
      <c r="U93" s="20" t="s">
        <v>329</v>
      </c>
      <c r="V93" s="17" t="s">
        <v>46</v>
      </c>
      <c r="W93" s="20" t="str">
        <f>HYPERLINK("https://www.stromypodkontrolou.cz/map/tree/d41bce85-5010-4276-b929-4760db78c679/c7f1d774-dfd9-45e3-9ff8-48818b24788f")</f>
        <v>https://www.stromypodkontrolou.cz/map/tree/d41bce85-5010-4276-b929-4760db78c679/c7f1d774-dfd9-45e3-9ff8-48818b24788f</v>
      </c>
      <c r="X93" s="20">
        <v>-761407.97361999995</v>
      </c>
      <c r="Y93" s="20">
        <v>-992177.31361700001</v>
      </c>
      <c r="Z93" s="20" t="str">
        <f>HYPERLINK("https://www.mapy.cz?st=search&amp;fr=50.51690842 14.06374421")</f>
        <v>https://www.mapy.cz?st=search&amp;fr=50.51690842 14.06374421</v>
      </c>
      <c r="AA93" s="18" t="s">
        <v>38</v>
      </c>
      <c r="AB93" s="56">
        <v>10.4</v>
      </c>
      <c r="AC93" s="82" t="s">
        <v>450</v>
      </c>
      <c r="AD93" s="110"/>
    </row>
    <row r="94" spans="1:30" ht="35.1" customHeight="1" x14ac:dyDescent="0.2">
      <c r="A94" s="19" t="s">
        <v>140</v>
      </c>
      <c r="B94" s="20" t="s">
        <v>377</v>
      </c>
      <c r="C94" s="21">
        <v>16243</v>
      </c>
      <c r="D94" s="22" t="s">
        <v>384</v>
      </c>
      <c r="E94" s="23" t="s">
        <v>112</v>
      </c>
      <c r="F94" s="20" t="s">
        <v>113</v>
      </c>
      <c r="G94" s="21" t="s">
        <v>163</v>
      </c>
      <c r="H94" s="21"/>
      <c r="I94" s="21"/>
      <c r="J94" s="21"/>
      <c r="K94" s="21" t="s">
        <v>92</v>
      </c>
      <c r="L94" s="21" t="s">
        <v>63</v>
      </c>
      <c r="M94" s="21" t="s">
        <v>107</v>
      </c>
      <c r="N94" s="21" t="s">
        <v>33</v>
      </c>
      <c r="O94" s="21" t="s">
        <v>45</v>
      </c>
      <c r="P94" s="21" t="s">
        <v>35</v>
      </c>
      <c r="Q94" s="21" t="s">
        <v>36</v>
      </c>
      <c r="R94" s="21" t="s">
        <v>36</v>
      </c>
      <c r="S94" s="20" t="s">
        <v>385</v>
      </c>
      <c r="T94" s="20" t="s">
        <v>275</v>
      </c>
      <c r="U94" s="20" t="s">
        <v>308</v>
      </c>
      <c r="V94" s="17" t="s">
        <v>36</v>
      </c>
      <c r="W94" s="20" t="str">
        <f>HYPERLINK("https://www.stromypodkontrolou.cz/map/tree/d41bce85-5010-4276-b929-4760db78c679/d13fb026-7bb0-4169-bb3b-db1cf30899e9")</f>
        <v>https://www.stromypodkontrolou.cz/map/tree/d41bce85-5010-4276-b929-4760db78c679/d13fb026-7bb0-4169-bb3b-db1cf30899e9</v>
      </c>
      <c r="X94" s="20">
        <v>-761425.078569</v>
      </c>
      <c r="Y94" s="20">
        <v>-992172.79282500001</v>
      </c>
      <c r="Z94" s="20" t="str">
        <f>HYPERLINK("https://www.mapy.cz?st=search&amp;fr=50.51692697 14.06349644")</f>
        <v>https://www.mapy.cz?st=search&amp;fr=50.51692697 14.06349644</v>
      </c>
      <c r="AA94" s="18" t="s">
        <v>38</v>
      </c>
      <c r="AB94" s="17">
        <v>2.9</v>
      </c>
      <c r="AC94" s="80" t="s">
        <v>448</v>
      </c>
      <c r="AD94" s="110"/>
    </row>
    <row r="95" spans="1:30" ht="58.5" customHeight="1" x14ac:dyDescent="0.2">
      <c r="A95" s="19" t="s">
        <v>140</v>
      </c>
      <c r="B95" s="20" t="s">
        <v>377</v>
      </c>
      <c r="C95" s="21">
        <v>16246</v>
      </c>
      <c r="D95" s="22" t="s">
        <v>386</v>
      </c>
      <c r="E95" s="23" t="s">
        <v>112</v>
      </c>
      <c r="F95" s="20" t="s">
        <v>113</v>
      </c>
      <c r="G95" s="21" t="s">
        <v>118</v>
      </c>
      <c r="H95" s="21" t="s">
        <v>213</v>
      </c>
      <c r="I95" s="21"/>
      <c r="J95" s="21"/>
      <c r="K95" s="21" t="s">
        <v>214</v>
      </c>
      <c r="L95" s="21" t="s">
        <v>53</v>
      </c>
      <c r="M95" s="21" t="s">
        <v>96</v>
      </c>
      <c r="N95" s="21" t="s">
        <v>97</v>
      </c>
      <c r="O95" s="21" t="s">
        <v>45</v>
      </c>
      <c r="P95" s="21" t="s">
        <v>35</v>
      </c>
      <c r="Q95" s="21" t="s">
        <v>36</v>
      </c>
      <c r="R95" s="21" t="s">
        <v>36</v>
      </c>
      <c r="S95" s="20" t="s">
        <v>387</v>
      </c>
      <c r="T95" s="20" t="s">
        <v>275</v>
      </c>
      <c r="U95" s="20" t="s">
        <v>308</v>
      </c>
      <c r="V95" s="17" t="s">
        <v>36</v>
      </c>
      <c r="W95" s="20" t="str">
        <f>HYPERLINK("https://www.stromypodkontrolou.cz/map/tree/d41bce85-5010-4276-b929-4760db78c679/8ab7d05b-7f36-4d0d-a380-da0456faebe2")</f>
        <v>https://www.stromypodkontrolou.cz/map/tree/d41bce85-5010-4276-b929-4760db78c679/8ab7d05b-7f36-4d0d-a380-da0456faebe2</v>
      </c>
      <c r="X95" s="20">
        <v>-761433.36547099997</v>
      </c>
      <c r="Y95" s="20">
        <v>-992170.43850599998</v>
      </c>
      <c r="Z95" s="20" t="str">
        <f>HYPERLINK("https://www.mapy.cz?st=search&amp;fr=50.51693742 14.06337608")</f>
        <v>https://www.mapy.cz?st=search&amp;fr=50.51693742 14.06337608</v>
      </c>
      <c r="AA95" s="6" t="s">
        <v>453</v>
      </c>
      <c r="AB95" s="95">
        <v>2.6</v>
      </c>
      <c r="AC95" s="80" t="s">
        <v>427</v>
      </c>
      <c r="AD95" s="110"/>
    </row>
    <row r="96" spans="1:30" ht="35.1" customHeight="1" x14ac:dyDescent="0.2">
      <c r="A96" s="19" t="s">
        <v>140</v>
      </c>
      <c r="B96" s="20" t="s">
        <v>377</v>
      </c>
      <c r="C96" s="21">
        <v>16250</v>
      </c>
      <c r="D96" s="22" t="s">
        <v>388</v>
      </c>
      <c r="E96" s="23" t="s">
        <v>27</v>
      </c>
      <c r="F96" s="20" t="s">
        <v>28</v>
      </c>
      <c r="G96" s="21" t="s">
        <v>167</v>
      </c>
      <c r="H96" s="21" t="s">
        <v>73</v>
      </c>
      <c r="I96" s="21"/>
      <c r="J96" s="21"/>
      <c r="K96" s="21" t="s">
        <v>214</v>
      </c>
      <c r="L96" s="21" t="s">
        <v>92</v>
      </c>
      <c r="M96" s="21" t="s">
        <v>32</v>
      </c>
      <c r="N96" s="21" t="s">
        <v>33</v>
      </c>
      <c r="O96" s="21" t="s">
        <v>45</v>
      </c>
      <c r="P96" s="21" t="s">
        <v>35</v>
      </c>
      <c r="Q96" s="21" t="s">
        <v>36</v>
      </c>
      <c r="R96" s="21" t="s">
        <v>36</v>
      </c>
      <c r="S96" s="20" t="s">
        <v>269</v>
      </c>
      <c r="T96" s="20" t="s">
        <v>275</v>
      </c>
      <c r="U96" s="20" t="s">
        <v>308</v>
      </c>
      <c r="V96" s="17" t="s">
        <v>36</v>
      </c>
      <c r="W96" s="20" t="str">
        <f>HYPERLINK("https://www.stromypodkontrolou.cz/map/tree/d41bce85-5010-4276-b929-4760db78c679/c029ad91-baff-4234-8b7c-db3dcdbe2b42")</f>
        <v>https://www.stromypodkontrolou.cz/map/tree/d41bce85-5010-4276-b929-4760db78c679/c029ad91-baff-4234-8b7c-db3dcdbe2b42</v>
      </c>
      <c r="X96" s="20">
        <v>-761474.78335000004</v>
      </c>
      <c r="Y96" s="20">
        <v>-992153.83070199995</v>
      </c>
      <c r="Z96" s="20" t="str">
        <f>HYPERLINK("https://www.mapy.cz?st=search&amp;fr=50.51703271 14.06276487")</f>
        <v>https://www.mapy.cz?st=search&amp;fr=50.51703271 14.06276487</v>
      </c>
      <c r="AA96" s="18" t="s">
        <v>38</v>
      </c>
      <c r="AB96" s="17">
        <v>2.6</v>
      </c>
      <c r="AC96" s="80" t="s">
        <v>448</v>
      </c>
      <c r="AD96" s="110"/>
    </row>
    <row r="97" spans="1:30" ht="35.1" customHeight="1" x14ac:dyDescent="0.2">
      <c r="A97" s="19" t="s">
        <v>140</v>
      </c>
      <c r="B97" s="20" t="s">
        <v>377</v>
      </c>
      <c r="C97" s="21">
        <v>16251</v>
      </c>
      <c r="D97" s="22" t="s">
        <v>389</v>
      </c>
      <c r="E97" s="23" t="s">
        <v>27</v>
      </c>
      <c r="F97" s="20" t="s">
        <v>28</v>
      </c>
      <c r="G97" s="21" t="s">
        <v>29</v>
      </c>
      <c r="H97" s="21" t="s">
        <v>219</v>
      </c>
      <c r="I97" s="21"/>
      <c r="J97" s="21"/>
      <c r="K97" s="21" t="s">
        <v>105</v>
      </c>
      <c r="L97" s="21" t="s">
        <v>68</v>
      </c>
      <c r="M97" s="21" t="s">
        <v>97</v>
      </c>
      <c r="N97" s="21" t="s">
        <v>33</v>
      </c>
      <c r="O97" s="21" t="s">
        <v>34</v>
      </c>
      <c r="P97" s="21" t="s">
        <v>36</v>
      </c>
      <c r="Q97" s="21" t="s">
        <v>36</v>
      </c>
      <c r="R97" s="21" t="s">
        <v>33</v>
      </c>
      <c r="S97" s="20" t="s">
        <v>390</v>
      </c>
      <c r="T97" s="20" t="s">
        <v>275</v>
      </c>
      <c r="U97" s="20" t="s">
        <v>308</v>
      </c>
      <c r="V97" s="17" t="s">
        <v>46</v>
      </c>
      <c r="W97" s="20" t="str">
        <f>HYPERLINK("https://www.stromypodkontrolou.cz/map/tree/d41bce85-5010-4276-b929-4760db78c679/90c7b833-0cd2-4e99-9770-cdb6741f2a27")</f>
        <v>https://www.stromypodkontrolou.cz/map/tree/d41bce85-5010-4276-b929-4760db78c679/90c7b833-0cd2-4e99-9770-cdb6741f2a27</v>
      </c>
      <c r="X97" s="20">
        <v>-761479.85480199999</v>
      </c>
      <c r="Y97" s="20">
        <v>-992152.67697000003</v>
      </c>
      <c r="Z97" s="20" t="str">
        <f>HYPERLINK("https://www.mapy.cz?st=search&amp;fr=50.51703655 14.06269178")</f>
        <v>https://www.mapy.cz?st=search&amp;fr=50.51703655 14.06269178</v>
      </c>
      <c r="AA97" s="18" t="s">
        <v>38</v>
      </c>
      <c r="AB97" s="17">
        <v>2.5</v>
      </c>
      <c r="AC97" s="80" t="s">
        <v>448</v>
      </c>
      <c r="AD97" s="110"/>
    </row>
    <row r="98" spans="1:30" ht="35.1" customHeight="1" x14ac:dyDescent="0.2">
      <c r="A98" s="19" t="s">
        <v>140</v>
      </c>
      <c r="B98" s="20" t="s">
        <v>377</v>
      </c>
      <c r="C98" s="21">
        <v>16255</v>
      </c>
      <c r="D98" s="22" t="s">
        <v>391</v>
      </c>
      <c r="E98" s="23" t="s">
        <v>27</v>
      </c>
      <c r="F98" s="20" t="s">
        <v>28</v>
      </c>
      <c r="G98" s="21" t="s">
        <v>122</v>
      </c>
      <c r="H98" s="21" t="s">
        <v>56</v>
      </c>
      <c r="I98" s="21" t="s">
        <v>66</v>
      </c>
      <c r="J98" s="21" t="s">
        <v>104</v>
      </c>
      <c r="K98" s="21" t="s">
        <v>105</v>
      </c>
      <c r="L98" s="21" t="s">
        <v>68</v>
      </c>
      <c r="M98" s="21" t="s">
        <v>51</v>
      </c>
      <c r="N98" s="21" t="s">
        <v>33</v>
      </c>
      <c r="O98" s="21" t="s">
        <v>108</v>
      </c>
      <c r="P98" s="21" t="s">
        <v>35</v>
      </c>
      <c r="Q98" s="21" t="s">
        <v>35</v>
      </c>
      <c r="R98" s="21" t="s">
        <v>36</v>
      </c>
      <c r="S98" s="20" t="s">
        <v>392</v>
      </c>
      <c r="T98" s="20" t="s">
        <v>275</v>
      </c>
      <c r="U98" s="20" t="s">
        <v>308</v>
      </c>
      <c r="V98" s="17" t="s">
        <v>46</v>
      </c>
      <c r="W98" s="20" t="str">
        <f>HYPERLINK("https://www.stromypodkontrolou.cz/map/tree/d41bce85-5010-4276-b929-4760db78c679/0f9bb4d9-0321-4fd9-bfb2-e5d4b5dbd78e")</f>
        <v>https://www.stromypodkontrolou.cz/map/tree/d41bce85-5010-4276-b929-4760db78c679/0f9bb4d9-0321-4fd9-bfb2-e5d4b5dbd78e</v>
      </c>
      <c r="X98" s="20">
        <v>-761495.57489399996</v>
      </c>
      <c r="Y98" s="20">
        <v>-992147.37121000001</v>
      </c>
      <c r="Z98" s="20" t="str">
        <f>HYPERLINK("https://www.mapy.cz?st=search&amp;fr=50.51706384 14.06246178")</f>
        <v>https://www.mapy.cz?st=search&amp;fr=50.51706384 14.06246178</v>
      </c>
      <c r="AA98" s="18" t="s">
        <v>38</v>
      </c>
      <c r="AB98" s="17">
        <v>3.3</v>
      </c>
      <c r="AC98" s="80" t="s">
        <v>448</v>
      </c>
      <c r="AD98" s="110"/>
    </row>
    <row r="99" spans="1:30" ht="35.1" customHeight="1" x14ac:dyDescent="0.2">
      <c r="A99" s="19" t="s">
        <v>140</v>
      </c>
      <c r="B99" s="20" t="s">
        <v>377</v>
      </c>
      <c r="C99" s="21">
        <v>16256</v>
      </c>
      <c r="D99" s="22" t="s">
        <v>393</v>
      </c>
      <c r="E99" s="23" t="s">
        <v>27</v>
      </c>
      <c r="F99" s="20" t="s">
        <v>28</v>
      </c>
      <c r="G99" s="21" t="s">
        <v>218</v>
      </c>
      <c r="H99" s="21"/>
      <c r="I99" s="21"/>
      <c r="J99" s="21"/>
      <c r="K99" s="21" t="s">
        <v>102</v>
      </c>
      <c r="L99" s="21" t="s">
        <v>82</v>
      </c>
      <c r="M99" s="21" t="s">
        <v>35</v>
      </c>
      <c r="N99" s="21" t="s">
        <v>33</v>
      </c>
      <c r="O99" s="21" t="s">
        <v>34</v>
      </c>
      <c r="P99" s="21" t="s">
        <v>97</v>
      </c>
      <c r="Q99" s="21" t="s">
        <v>36</v>
      </c>
      <c r="R99" s="21" t="s">
        <v>97</v>
      </c>
      <c r="S99" s="20" t="s">
        <v>161</v>
      </c>
      <c r="T99" s="20" t="s">
        <v>275</v>
      </c>
      <c r="U99" s="20" t="s">
        <v>308</v>
      </c>
      <c r="V99" s="17" t="s">
        <v>46</v>
      </c>
      <c r="W99" s="20" t="str">
        <f>HYPERLINK("https://www.stromypodkontrolou.cz/map/tree/d41bce85-5010-4276-b929-4760db78c679/6f9c0855-be33-4b17-a320-5070cd320d2b")</f>
        <v>https://www.stromypodkontrolou.cz/map/tree/d41bce85-5010-4276-b929-4760db78c679/6f9c0855-be33-4b17-a320-5070cd320d2b</v>
      </c>
      <c r="X99" s="20">
        <v>-761505.68358199997</v>
      </c>
      <c r="Y99" s="20">
        <v>-992145.83504899999</v>
      </c>
      <c r="Z99" s="20" t="str">
        <f>HYPERLINK("https://www.mapy.cz?st=search&amp;fr=50.51706469 14.06231761")</f>
        <v>https://www.mapy.cz?st=search&amp;fr=50.51706469 14.06231761</v>
      </c>
      <c r="AA99" s="18" t="s">
        <v>38</v>
      </c>
      <c r="AB99" s="56">
        <v>0.7</v>
      </c>
      <c r="AC99" s="80" t="s">
        <v>446</v>
      </c>
      <c r="AD99" s="110"/>
    </row>
    <row r="100" spans="1:30" ht="35.1" customHeight="1" x14ac:dyDescent="0.2">
      <c r="A100" s="19" t="s">
        <v>140</v>
      </c>
      <c r="B100" s="20" t="s">
        <v>377</v>
      </c>
      <c r="C100" s="21">
        <v>16258</v>
      </c>
      <c r="D100" s="22" t="s">
        <v>394</v>
      </c>
      <c r="E100" s="23" t="s">
        <v>27</v>
      </c>
      <c r="F100" s="20" t="s">
        <v>28</v>
      </c>
      <c r="G100" s="21" t="s">
        <v>231</v>
      </c>
      <c r="H100" s="21" t="s">
        <v>136</v>
      </c>
      <c r="I100" s="21" t="s">
        <v>125</v>
      </c>
      <c r="J100" s="21"/>
      <c r="K100" s="21" t="s">
        <v>177</v>
      </c>
      <c r="L100" s="21" t="s">
        <v>68</v>
      </c>
      <c r="M100" s="21" t="s">
        <v>50</v>
      </c>
      <c r="N100" s="21" t="s">
        <v>33</v>
      </c>
      <c r="O100" s="21" t="s">
        <v>108</v>
      </c>
      <c r="P100" s="21" t="s">
        <v>35</v>
      </c>
      <c r="Q100" s="21" t="s">
        <v>35</v>
      </c>
      <c r="R100" s="21" t="s">
        <v>36</v>
      </c>
      <c r="S100" s="20" t="s">
        <v>395</v>
      </c>
      <c r="T100" s="20" t="s">
        <v>275</v>
      </c>
      <c r="U100" s="20" t="s">
        <v>308</v>
      </c>
      <c r="V100" s="17" t="s">
        <v>36</v>
      </c>
      <c r="W100" s="20" t="str">
        <f>HYPERLINK("https://www.stromypodkontrolou.cz/map/tree/d41bce85-5010-4276-b929-4760db78c679/39648a0f-937f-46dc-b81a-96a3126414f1")</f>
        <v>https://www.stromypodkontrolou.cz/map/tree/d41bce85-5010-4276-b929-4760db78c679/39648a0f-937f-46dc-b81a-96a3126414f1</v>
      </c>
      <c r="X100" s="20">
        <v>-761514.109421</v>
      </c>
      <c r="Y100" s="20">
        <v>-992146.47879600001</v>
      </c>
      <c r="Z100" s="20" t="str">
        <f>HYPERLINK("https://www.mapy.cz?st=search&amp;fr=50.51704827 14.06220127")</f>
        <v>https://www.mapy.cz?st=search&amp;fr=50.51704827 14.06220127</v>
      </c>
      <c r="AA100" s="18" t="s">
        <v>38</v>
      </c>
      <c r="AB100" s="17">
        <v>7.9</v>
      </c>
      <c r="AC100" s="80" t="s">
        <v>450</v>
      </c>
      <c r="AD100" s="110"/>
    </row>
    <row r="101" spans="1:30" ht="35.1" customHeight="1" x14ac:dyDescent="0.2">
      <c r="A101" s="19" t="s">
        <v>140</v>
      </c>
      <c r="B101" s="20" t="s">
        <v>377</v>
      </c>
      <c r="C101" s="21">
        <v>16260</v>
      </c>
      <c r="D101" s="22" t="s">
        <v>396</v>
      </c>
      <c r="E101" s="23" t="s">
        <v>27</v>
      </c>
      <c r="F101" s="20" t="s">
        <v>28</v>
      </c>
      <c r="G101" s="21" t="s">
        <v>84</v>
      </c>
      <c r="H101" s="21"/>
      <c r="I101" s="21"/>
      <c r="J101" s="21"/>
      <c r="K101" s="21" t="s">
        <v>115</v>
      </c>
      <c r="L101" s="21" t="s">
        <v>62</v>
      </c>
      <c r="M101" s="21" t="s">
        <v>36</v>
      </c>
      <c r="N101" s="21" t="s">
        <v>33</v>
      </c>
      <c r="O101" s="21" t="s">
        <v>34</v>
      </c>
      <c r="P101" s="21" t="s">
        <v>97</v>
      </c>
      <c r="Q101" s="21" t="s">
        <v>33</v>
      </c>
      <c r="R101" s="21" t="s">
        <v>97</v>
      </c>
      <c r="S101" s="20" t="s">
        <v>397</v>
      </c>
      <c r="T101" s="20" t="s">
        <v>275</v>
      </c>
      <c r="U101" s="20" t="s">
        <v>308</v>
      </c>
      <c r="V101" s="17" t="s">
        <v>46</v>
      </c>
      <c r="W101" s="20" t="str">
        <f>HYPERLINK("https://www.stromypodkontrolou.cz/map/tree/d41bce85-5010-4276-b929-4760db78c679/67ddbe24-c164-49f4-ae87-ff6401aaba40")</f>
        <v>https://www.stromypodkontrolou.cz/map/tree/d41bce85-5010-4276-b929-4760db78c679/67ddbe24-c164-49f4-ae87-ff6401aaba40</v>
      </c>
      <c r="X101" s="20">
        <v>-761517.869466</v>
      </c>
      <c r="Y101" s="20">
        <v>-992140.84117899998</v>
      </c>
      <c r="Z101" s="20" t="str">
        <f>HYPERLINK("https://www.mapy.cz?st=search&amp;fr=50.51709368 14.06213757")</f>
        <v>https://www.mapy.cz?st=search&amp;fr=50.51709368 14.06213757</v>
      </c>
      <c r="AA101" s="18" t="s">
        <v>38</v>
      </c>
      <c r="AB101" s="17">
        <v>0.3</v>
      </c>
      <c r="AC101" s="80" t="s">
        <v>445</v>
      </c>
      <c r="AD101" s="110"/>
    </row>
    <row r="102" spans="1:30" ht="35.1" customHeight="1" x14ac:dyDescent="0.2">
      <c r="A102" s="19" t="s">
        <v>140</v>
      </c>
      <c r="B102" s="20" t="s">
        <v>377</v>
      </c>
      <c r="C102" s="21">
        <v>16269</v>
      </c>
      <c r="D102" s="22" t="s">
        <v>398</v>
      </c>
      <c r="E102" s="23" t="s">
        <v>27</v>
      </c>
      <c r="F102" s="20" t="s">
        <v>28</v>
      </c>
      <c r="G102" s="21" t="s">
        <v>217</v>
      </c>
      <c r="H102" s="21"/>
      <c r="I102" s="21"/>
      <c r="J102" s="21"/>
      <c r="K102" s="21" t="s">
        <v>81</v>
      </c>
      <c r="L102" s="21" t="s">
        <v>82</v>
      </c>
      <c r="M102" s="21" t="s">
        <v>46</v>
      </c>
      <c r="N102" s="21" t="s">
        <v>33</v>
      </c>
      <c r="O102" s="21" t="s">
        <v>34</v>
      </c>
      <c r="P102" s="21" t="s">
        <v>97</v>
      </c>
      <c r="Q102" s="21" t="s">
        <v>33</v>
      </c>
      <c r="R102" s="21" t="s">
        <v>97</v>
      </c>
      <c r="S102" s="20" t="s">
        <v>161</v>
      </c>
      <c r="T102" s="20" t="s">
        <v>275</v>
      </c>
      <c r="U102" s="20" t="s">
        <v>308</v>
      </c>
      <c r="V102" s="17" t="s">
        <v>36</v>
      </c>
      <c r="W102" s="20" t="str">
        <f>HYPERLINK("https://www.stromypodkontrolou.cz/map/tree/d41bce85-5010-4276-b929-4760db78c679/35cf441e-e4e5-4c2c-b96c-009b1babc0c3")</f>
        <v>https://www.stromypodkontrolou.cz/map/tree/d41bce85-5010-4276-b929-4760db78c679/35cf441e-e4e5-4c2c-b96c-009b1babc0c3</v>
      </c>
      <c r="X102" s="20">
        <v>-761546.61163499998</v>
      </c>
      <c r="Y102" s="20">
        <v>-992136.41029599996</v>
      </c>
      <c r="Z102" s="20" t="str">
        <f>HYPERLINK("https://www.mapy.cz?st=search&amp;fr=50.51709667 14.06172752")</f>
        <v>https://www.mapy.cz?st=search&amp;fr=50.51709667 14.06172752</v>
      </c>
      <c r="AA102" s="18" t="s">
        <v>38</v>
      </c>
      <c r="AB102" s="17">
        <v>0.1</v>
      </c>
      <c r="AC102" s="93" t="s">
        <v>446</v>
      </c>
      <c r="AD102" s="115"/>
    </row>
    <row r="103" spans="1:30" ht="35.1" customHeight="1" thickBot="1" x14ac:dyDescent="0.25">
      <c r="A103" s="39" t="s">
        <v>140</v>
      </c>
      <c r="B103" s="40" t="s">
        <v>377</v>
      </c>
      <c r="C103" s="41">
        <v>16277</v>
      </c>
      <c r="D103" s="42" t="s">
        <v>399</v>
      </c>
      <c r="E103" s="43" t="s">
        <v>27</v>
      </c>
      <c r="F103" s="40" t="s">
        <v>28</v>
      </c>
      <c r="G103" s="41" t="s">
        <v>103</v>
      </c>
      <c r="H103" s="41"/>
      <c r="I103" s="41"/>
      <c r="J103" s="41"/>
      <c r="K103" s="41" t="s">
        <v>105</v>
      </c>
      <c r="L103" s="41" t="s">
        <v>115</v>
      </c>
      <c r="M103" s="41" t="s">
        <v>44</v>
      </c>
      <c r="N103" s="41" t="s">
        <v>33</v>
      </c>
      <c r="O103" s="41" t="s">
        <v>34</v>
      </c>
      <c r="P103" s="41" t="s">
        <v>97</v>
      </c>
      <c r="Q103" s="41" t="s">
        <v>36</v>
      </c>
      <c r="R103" s="41" t="s">
        <v>97</v>
      </c>
      <c r="S103" s="40" t="s">
        <v>98</v>
      </c>
      <c r="T103" s="40" t="s">
        <v>275</v>
      </c>
      <c r="U103" s="40" t="s">
        <v>308</v>
      </c>
      <c r="V103" s="44" t="s">
        <v>36</v>
      </c>
      <c r="W103" s="40" t="str">
        <f>HYPERLINK("https://www.stromypodkontrolou.cz/map/tree/d41bce85-5010-4276-b929-4760db78c679/76047d92-43da-4d89-b178-1a7472b11909")</f>
        <v>https://www.stromypodkontrolou.cz/map/tree/d41bce85-5010-4276-b929-4760db78c679/76047d92-43da-4d89-b178-1a7472b11909</v>
      </c>
      <c r="X103" s="40">
        <v>-761565.90708200005</v>
      </c>
      <c r="Y103" s="40">
        <v>-992134.11583899998</v>
      </c>
      <c r="Z103" s="40" t="str">
        <f>HYPERLINK("https://www.mapy.cz?st=search&amp;fr=50.51709262 14.06145360")</f>
        <v>https://www.mapy.cz?st=search&amp;fr=50.51709262 14.06145360</v>
      </c>
      <c r="AA103" s="45" t="s">
        <v>38</v>
      </c>
      <c r="AB103" s="62">
        <v>0.5</v>
      </c>
      <c r="AC103" s="92" t="s">
        <v>445</v>
      </c>
      <c r="AD103" s="111"/>
    </row>
    <row r="104" spans="1:30" ht="39" customHeight="1" thickTop="1" thickBot="1" x14ac:dyDescent="0.25">
      <c r="A104" s="51" t="s">
        <v>140</v>
      </c>
      <c r="B104" s="58" t="s">
        <v>400</v>
      </c>
      <c r="C104" s="59">
        <v>15044</v>
      </c>
      <c r="D104" s="60" t="s">
        <v>401</v>
      </c>
      <c r="E104" s="61" t="s">
        <v>141</v>
      </c>
      <c r="F104" s="58" t="s">
        <v>142</v>
      </c>
      <c r="G104" s="59" t="s">
        <v>229</v>
      </c>
      <c r="H104" s="59" t="s">
        <v>66</v>
      </c>
      <c r="I104" s="59" t="s">
        <v>103</v>
      </c>
      <c r="J104" s="59" t="s">
        <v>121</v>
      </c>
      <c r="K104" s="59" t="s">
        <v>58</v>
      </c>
      <c r="L104" s="59" t="s">
        <v>106</v>
      </c>
      <c r="M104" s="59" t="s">
        <v>49</v>
      </c>
      <c r="N104" s="59" t="s">
        <v>33</v>
      </c>
      <c r="O104" s="59" t="s">
        <v>108</v>
      </c>
      <c r="P104" s="59" t="s">
        <v>46</v>
      </c>
      <c r="Q104" s="59" t="s">
        <v>36</v>
      </c>
      <c r="R104" s="59" t="s">
        <v>36</v>
      </c>
      <c r="S104" s="58" t="s">
        <v>402</v>
      </c>
      <c r="T104" s="58" t="s">
        <v>373</v>
      </c>
      <c r="U104" s="58" t="s">
        <v>403</v>
      </c>
      <c r="V104" s="56" t="s">
        <v>46</v>
      </c>
      <c r="W104" s="58" t="str">
        <f>HYPERLINK("https://www.stromypodkontrolou.cz/map/tree/d41bce85-5010-4276-b929-4760db78c679/5ae4eef0-2efd-4b57-9ffc-470ee0db17aa")</f>
        <v>https://www.stromypodkontrolou.cz/map/tree/d41bce85-5010-4276-b929-4760db78c679/5ae4eef0-2efd-4b57-9ffc-470ee0db17aa</v>
      </c>
      <c r="X104" s="58">
        <v>-758888.34330099996</v>
      </c>
      <c r="Y104" s="58">
        <v>-981423.13008599996</v>
      </c>
      <c r="Z104" s="58" t="str">
        <f>HYPERLINK("https://www.mapy.cz?st=search&amp;fr=50.61581755 14.07755859")</f>
        <v>https://www.mapy.cz?st=search&amp;fr=50.61581755 14.07755859</v>
      </c>
      <c r="AA104" s="10" t="s">
        <v>421</v>
      </c>
      <c r="AB104" s="96">
        <v>1.4</v>
      </c>
      <c r="AC104" s="97" t="s">
        <v>440</v>
      </c>
      <c r="AD104" s="118"/>
    </row>
    <row r="105" spans="1:30" ht="35.1" customHeight="1" thickTop="1" thickBot="1" x14ac:dyDescent="0.25">
      <c r="A105" s="32" t="s">
        <v>140</v>
      </c>
      <c r="B105" s="33" t="s">
        <v>405</v>
      </c>
      <c r="C105" s="34">
        <v>15080</v>
      </c>
      <c r="D105" s="35" t="s">
        <v>406</v>
      </c>
      <c r="E105" s="36" t="s">
        <v>141</v>
      </c>
      <c r="F105" s="33" t="s">
        <v>142</v>
      </c>
      <c r="G105" s="34" t="s">
        <v>109</v>
      </c>
      <c r="H105" s="34" t="s">
        <v>114</v>
      </c>
      <c r="I105" s="34"/>
      <c r="J105" s="34"/>
      <c r="K105" s="34" t="s">
        <v>53</v>
      </c>
      <c r="L105" s="34" t="s">
        <v>31</v>
      </c>
      <c r="M105" s="34" t="s">
        <v>97</v>
      </c>
      <c r="N105" s="34" t="s">
        <v>33</v>
      </c>
      <c r="O105" s="34" t="s">
        <v>34</v>
      </c>
      <c r="P105" s="34" t="s">
        <v>36</v>
      </c>
      <c r="Q105" s="34" t="s">
        <v>33</v>
      </c>
      <c r="R105" s="34" t="s">
        <v>33</v>
      </c>
      <c r="S105" s="33" t="s">
        <v>407</v>
      </c>
      <c r="T105" s="33" t="s">
        <v>404</v>
      </c>
      <c r="U105" s="33" t="s">
        <v>408</v>
      </c>
      <c r="V105" s="37" t="s">
        <v>46</v>
      </c>
      <c r="W105" s="33" t="str">
        <f>HYPERLINK("https://www.stromypodkontrolou.cz/map/tree/d41bce85-5010-4276-b929-4760db78c679/cf271eea-2bc4-4b89-8afb-df74ffb43916")</f>
        <v>https://www.stromypodkontrolou.cz/map/tree/d41bce85-5010-4276-b929-4760db78c679/cf271eea-2bc4-4b89-8afb-df74ffb43916</v>
      </c>
      <c r="X105" s="33">
        <v>-759594.94824099995</v>
      </c>
      <c r="Y105" s="33">
        <v>-983264.65174700005</v>
      </c>
      <c r="Z105" s="33" t="str">
        <f>HYPERLINK("https://www.mapy.cz?st=search&amp;fr=50.59853235 14.07134123")</f>
        <v>https://www.mapy.cz?st=search&amp;fr=50.59853235 14.07134123</v>
      </c>
      <c r="AA105" s="38" t="s">
        <v>48</v>
      </c>
      <c r="AB105" s="62">
        <v>0.1</v>
      </c>
      <c r="AC105" s="92" t="s">
        <v>426</v>
      </c>
      <c r="AD105" s="119"/>
    </row>
    <row r="106" spans="1:30" ht="48" customHeight="1" thickTop="1" x14ac:dyDescent="0.2">
      <c r="A106" s="12" t="s">
        <v>26</v>
      </c>
      <c r="B106" s="13" t="s">
        <v>409</v>
      </c>
      <c r="C106" s="14">
        <v>10020</v>
      </c>
      <c r="D106" s="15" t="s">
        <v>412</v>
      </c>
      <c r="E106" s="16" t="s">
        <v>70</v>
      </c>
      <c r="F106" s="13" t="s">
        <v>71</v>
      </c>
      <c r="G106" s="14" t="s">
        <v>124</v>
      </c>
      <c r="H106" s="14" t="s">
        <v>74</v>
      </c>
      <c r="I106" s="14"/>
      <c r="J106" s="14"/>
      <c r="K106" s="14" t="s">
        <v>115</v>
      </c>
      <c r="L106" s="14" t="s">
        <v>31</v>
      </c>
      <c r="M106" s="14" t="s">
        <v>51</v>
      </c>
      <c r="N106" s="14" t="s">
        <v>33</v>
      </c>
      <c r="O106" s="14" t="s">
        <v>45</v>
      </c>
      <c r="P106" s="14" t="s">
        <v>35</v>
      </c>
      <c r="Q106" s="14" t="s">
        <v>35</v>
      </c>
      <c r="R106" s="14" t="s">
        <v>35</v>
      </c>
      <c r="S106" s="13" t="s">
        <v>413</v>
      </c>
      <c r="T106" s="13" t="s">
        <v>410</v>
      </c>
      <c r="U106" s="13" t="s">
        <v>411</v>
      </c>
      <c r="V106" s="17" t="s">
        <v>35</v>
      </c>
      <c r="W106" s="13" t="str">
        <f>HYPERLINK("https://www.stromypodkontrolou.cz/map/tree/d41bce85-5010-4276-b929-4760db78c679/f67aed17-875c-4f88-a7d9-ee0959b86e4b")</f>
        <v>https://www.stromypodkontrolou.cz/map/tree/d41bce85-5010-4276-b929-4760db78c679/f67aed17-875c-4f88-a7d9-ee0959b86e4b</v>
      </c>
      <c r="X106" s="13">
        <v>-761530.53741899994</v>
      </c>
      <c r="Y106" s="13">
        <v>-983266.15358799999</v>
      </c>
      <c r="Z106" s="13" t="str">
        <f>HYPERLINK("https://www.mapy.cz?st=search&amp;fr=50.59606340 14.04427875")</f>
        <v>https://www.mapy.cz?st=search&amp;fr=50.59606340 14.04427875</v>
      </c>
      <c r="AA106" s="18" t="s">
        <v>48</v>
      </c>
      <c r="AB106" s="56">
        <v>0.7</v>
      </c>
      <c r="AC106" s="82" t="s">
        <v>426</v>
      </c>
      <c r="AD106" s="115"/>
    </row>
    <row r="107" spans="1:30" ht="59.25" customHeight="1" thickBot="1" x14ac:dyDescent="0.25">
      <c r="A107" s="75" t="s">
        <v>26</v>
      </c>
      <c r="B107" s="69" t="s">
        <v>409</v>
      </c>
      <c r="C107" s="70">
        <v>10021</v>
      </c>
      <c r="D107" s="71" t="s">
        <v>414</v>
      </c>
      <c r="E107" s="72" t="s">
        <v>70</v>
      </c>
      <c r="F107" s="69" t="s">
        <v>71</v>
      </c>
      <c r="G107" s="70" t="s">
        <v>234</v>
      </c>
      <c r="H107" s="70" t="s">
        <v>122</v>
      </c>
      <c r="I107" s="70" t="s">
        <v>79</v>
      </c>
      <c r="J107" s="70"/>
      <c r="K107" s="70" t="s">
        <v>224</v>
      </c>
      <c r="L107" s="70" t="s">
        <v>116</v>
      </c>
      <c r="M107" s="70" t="s">
        <v>120</v>
      </c>
      <c r="N107" s="70" t="s">
        <v>33</v>
      </c>
      <c r="O107" s="70" t="s">
        <v>34</v>
      </c>
      <c r="P107" s="70" t="s">
        <v>35</v>
      </c>
      <c r="Q107" s="70" t="s">
        <v>36</v>
      </c>
      <c r="R107" s="70" t="s">
        <v>36</v>
      </c>
      <c r="S107" s="69" t="s">
        <v>415</v>
      </c>
      <c r="T107" s="69" t="s">
        <v>410</v>
      </c>
      <c r="U107" s="69" t="s">
        <v>411</v>
      </c>
      <c r="V107" s="73" t="s">
        <v>46</v>
      </c>
      <c r="W107" s="69" t="str">
        <f>HYPERLINK("https://www.stromypodkontrolou.cz/map/tree/d41bce85-5010-4276-b929-4760db78c679/118879ab-7251-46ba-970d-a0f124da895c")</f>
        <v>https://www.stromypodkontrolou.cz/map/tree/d41bce85-5010-4276-b929-4760db78c679/118879ab-7251-46ba-970d-a0f124da895c</v>
      </c>
      <c r="X107" s="69">
        <v>-761538.94188000006</v>
      </c>
      <c r="Y107" s="69">
        <v>-983268.42149600002</v>
      </c>
      <c r="Z107" s="69" t="str">
        <f>HYPERLINK("https://www.mapy.cz?st=search&amp;fr=50.59603254 14.04416576")</f>
        <v>https://www.mapy.cz?st=search&amp;fr=50.59603254 14.04416576</v>
      </c>
      <c r="AA107" s="74" t="s">
        <v>204</v>
      </c>
      <c r="AB107" s="73">
        <v>12.6</v>
      </c>
      <c r="AC107" s="98" t="s">
        <v>439</v>
      </c>
      <c r="AD107" s="120"/>
    </row>
    <row r="108" spans="1:30" s="11" customFormat="1" ht="20.100000000000001" customHeight="1" x14ac:dyDescent="0.2">
      <c r="AA108" s="124" t="s">
        <v>424</v>
      </c>
      <c r="AB108" s="125"/>
      <c r="AC108" s="99"/>
      <c r="AD108" s="100">
        <f>SUM(AD2:AD107)</f>
        <v>0</v>
      </c>
    </row>
    <row r="109" spans="1:30" s="11" customFormat="1" ht="20.100000000000001" customHeight="1" x14ac:dyDescent="0.2">
      <c r="A109" s="107" t="s">
        <v>454</v>
      </c>
      <c r="AA109" s="132" t="s">
        <v>461</v>
      </c>
      <c r="AB109" s="133"/>
      <c r="AC109" s="101" t="s">
        <v>441</v>
      </c>
      <c r="AD109" s="108"/>
    </row>
    <row r="110" spans="1:30" s="11" customFormat="1" ht="22.5" customHeight="1" x14ac:dyDescent="0.2">
      <c r="A110" s="106"/>
      <c r="B110" s="107" t="s">
        <v>455</v>
      </c>
      <c r="AA110" s="130" t="s">
        <v>459</v>
      </c>
      <c r="AB110" s="131"/>
      <c r="AC110" s="102" t="s">
        <v>442</v>
      </c>
      <c r="AD110" s="109"/>
    </row>
    <row r="111" spans="1:30" s="11" customFormat="1" ht="24" customHeight="1" x14ac:dyDescent="0.2">
      <c r="AA111" s="126" t="s">
        <v>458</v>
      </c>
      <c r="AB111" s="127"/>
      <c r="AC111" s="102" t="s">
        <v>443</v>
      </c>
      <c r="AD111" s="109"/>
    </row>
    <row r="112" spans="1:30" s="11" customFormat="1" ht="26.25" customHeight="1" thickBot="1" x14ac:dyDescent="0.25">
      <c r="AA112" s="128" t="s">
        <v>457</v>
      </c>
      <c r="AB112" s="129"/>
      <c r="AC112" s="103" t="s">
        <v>444</v>
      </c>
      <c r="AD112" s="109"/>
    </row>
    <row r="113" spans="27:30" s="11" customFormat="1" ht="20.100000000000001" customHeight="1" thickBot="1" x14ac:dyDescent="0.25">
      <c r="AA113" s="121" t="s">
        <v>423</v>
      </c>
      <c r="AB113" s="122"/>
      <c r="AC113" s="123"/>
      <c r="AD113" s="104">
        <f>SUM(AD108:AD112)</f>
        <v>0</v>
      </c>
    </row>
    <row r="114" spans="27:30" ht="15" customHeight="1" x14ac:dyDescent="0.2"/>
    <row r="115" spans="27:30" ht="24" customHeight="1" x14ac:dyDescent="0.2"/>
    <row r="116" spans="27:30" ht="15.75" customHeight="1" x14ac:dyDescent="0.2"/>
  </sheetData>
  <sheetProtection algorithmName="SHA-512" hashValue="Cl/A7IliOK2xGZt7qXzSA9PyyyXVS+AcKDk+01+FO++MyJCYoHnptbgccFUHmxSzi21PuT2oHfdZTDK3kIoBPQ==" saltValue="egNZYPrGzus70jvNwQV60A==" spinCount="100000" sheet="1" objects="1" scenarios="1"/>
  <mergeCells count="6">
    <mergeCell ref="AA113:AC113"/>
    <mergeCell ref="AA108:AB108"/>
    <mergeCell ref="AA111:AB111"/>
    <mergeCell ref="AA112:AB112"/>
    <mergeCell ref="AA110:AB110"/>
    <mergeCell ref="AA109:AB109"/>
  </mergeCells>
  <pageMargins left="0.7" right="0.7" top="0.78740157499999996" bottom="0.78740157499999996" header="0.3" footer="0.3"/>
  <pageSetup paperSize="9" scale="49" fitToHeight="0" orientation="landscape" r:id="rId1"/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Povodí Labe, státní podnik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Věra Šumová</dc:creator>
  <cp:lastModifiedBy>Ing. Věra Šumová</cp:lastModifiedBy>
  <cp:lastPrinted>2025-06-06T07:02:10Z</cp:lastPrinted>
  <dcterms:created xsi:type="dcterms:W3CDTF">2024-05-30T12:30:27Z</dcterms:created>
  <dcterms:modified xsi:type="dcterms:W3CDTF">2025-09-09T06:00:47Z</dcterms:modified>
</cp:coreProperties>
</file>