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▲ VEŘEJNÉ ZAKÁZKY 2025\35-2025 Odstranění kovového zásobníku v Selmicích\Výzva\"/>
    </mc:Choice>
  </mc:AlternateContent>
  <xr:revisionPtr revIDLastSave="0" documentId="13_ncr:1_{2D937984-2A85-4C87-BF26-9A9016A43D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rycí list rozpočtu" sheetId="3" r:id="rId1"/>
    <sheet name="Stavební rozpočet" sheetId="1" r:id="rId2"/>
    <sheet name="Stavební rozpočet - součet" sheetId="2" r:id="rId3"/>
    <sheet name="VORN" sheetId="4" r:id="rId4"/>
  </sheets>
  <definedNames>
    <definedName name="vorn_sum">VORN!$I$36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5" i="4" l="1"/>
  <c r="I36" i="4" s="1"/>
  <c r="I24" i="3" s="1"/>
  <c r="I26" i="4"/>
  <c r="I25" i="4"/>
  <c r="I18" i="3" s="1"/>
  <c r="I24" i="4"/>
  <c r="I16" i="3"/>
  <c r="I22" i="4"/>
  <c r="I17" i="4"/>
  <c r="I16" i="4"/>
  <c r="I18" i="4" s="1"/>
  <c r="I15" i="4"/>
  <c r="F10" i="4"/>
  <c r="C10" i="4"/>
  <c r="F8" i="4"/>
  <c r="F6" i="4"/>
  <c r="C6" i="4"/>
  <c r="F4" i="4"/>
  <c r="C4" i="4"/>
  <c r="F2" i="4"/>
  <c r="C2" i="4"/>
  <c r="I19" i="3"/>
  <c r="I17" i="3"/>
  <c r="F16" i="3"/>
  <c r="I15" i="3"/>
  <c r="F14" i="3"/>
  <c r="F10" i="3"/>
  <c r="C10" i="3"/>
  <c r="F8" i="3"/>
  <c r="F6" i="3"/>
  <c r="C6" i="3"/>
  <c r="F4" i="3"/>
  <c r="C4" i="3"/>
  <c r="F2" i="3"/>
  <c r="C2" i="3"/>
  <c r="C8" i="2"/>
  <c r="G6" i="2"/>
  <c r="C6" i="2"/>
  <c r="G4" i="2"/>
  <c r="C4" i="2"/>
  <c r="G2" i="2"/>
  <c r="C2" i="2"/>
  <c r="BJ45" i="1"/>
  <c r="BF45" i="1"/>
  <c r="BD45" i="1"/>
  <c r="AP45" i="1"/>
  <c r="BI45" i="1" s="1"/>
  <c r="AO45" i="1"/>
  <c r="BH45" i="1" s="1"/>
  <c r="AK45" i="1"/>
  <c r="AJ45" i="1"/>
  <c r="AH45" i="1"/>
  <c r="AG45" i="1"/>
  <c r="AF45" i="1"/>
  <c r="AE45" i="1"/>
  <c r="AD45" i="1"/>
  <c r="AC45" i="1"/>
  <c r="AB45" i="1"/>
  <c r="Z45" i="1"/>
  <c r="J45" i="1"/>
  <c r="AL45" i="1" s="1"/>
  <c r="I45" i="1"/>
  <c r="BJ44" i="1"/>
  <c r="Z44" i="1" s="1"/>
  <c r="BF44" i="1"/>
  <c r="BD44" i="1"/>
  <c r="AP44" i="1"/>
  <c r="AO44" i="1"/>
  <c r="H44" i="1" s="1"/>
  <c r="AK44" i="1"/>
  <c r="AJ44" i="1"/>
  <c r="AH44" i="1"/>
  <c r="AG44" i="1"/>
  <c r="AF44" i="1"/>
  <c r="AE44" i="1"/>
  <c r="AD44" i="1"/>
  <c r="AC44" i="1"/>
  <c r="AB44" i="1"/>
  <c r="J44" i="1"/>
  <c r="AL44" i="1" s="1"/>
  <c r="BJ43" i="1"/>
  <c r="Z43" i="1" s="1"/>
  <c r="BF43" i="1"/>
  <c r="BD43" i="1"/>
  <c r="AP43" i="1"/>
  <c r="AX43" i="1" s="1"/>
  <c r="AO43" i="1"/>
  <c r="BH43" i="1" s="1"/>
  <c r="AK43" i="1"/>
  <c r="AJ43" i="1"/>
  <c r="AH43" i="1"/>
  <c r="AG43" i="1"/>
  <c r="AF43" i="1"/>
  <c r="AE43" i="1"/>
  <c r="AD43" i="1"/>
  <c r="AC43" i="1"/>
  <c r="AB43" i="1"/>
  <c r="J43" i="1"/>
  <c r="AL43" i="1" s="1"/>
  <c r="I43" i="1"/>
  <c r="H43" i="1"/>
  <c r="BJ42" i="1"/>
  <c r="Z42" i="1" s="1"/>
  <c r="BF42" i="1"/>
  <c r="BD42" i="1"/>
  <c r="AP42" i="1"/>
  <c r="BI42" i="1" s="1"/>
  <c r="AO42" i="1"/>
  <c r="AK42" i="1"/>
  <c r="AJ42" i="1"/>
  <c r="AH42" i="1"/>
  <c r="AG42" i="1"/>
  <c r="AF42" i="1"/>
  <c r="AE42" i="1"/>
  <c r="AD42" i="1"/>
  <c r="AC42" i="1"/>
  <c r="AB42" i="1"/>
  <c r="J42" i="1"/>
  <c r="AL42" i="1" s="1"/>
  <c r="BJ41" i="1"/>
  <c r="BF41" i="1"/>
  <c r="BD41" i="1"/>
  <c r="AP41" i="1"/>
  <c r="AO41" i="1"/>
  <c r="H41" i="1" s="1"/>
  <c r="AK41" i="1"/>
  <c r="AJ41" i="1"/>
  <c r="AH41" i="1"/>
  <c r="AG41" i="1"/>
  <c r="AF41" i="1"/>
  <c r="AE41" i="1"/>
  <c r="AD41" i="1"/>
  <c r="AC41" i="1"/>
  <c r="AB41" i="1"/>
  <c r="Z41" i="1"/>
  <c r="J41" i="1"/>
  <c r="BJ38" i="1"/>
  <c r="BF38" i="1"/>
  <c r="BD38" i="1"/>
  <c r="AP38" i="1"/>
  <c r="BI38" i="1" s="1"/>
  <c r="AC38" i="1" s="1"/>
  <c r="AO38" i="1"/>
  <c r="AK38" i="1"/>
  <c r="AJ38" i="1"/>
  <c r="AH38" i="1"/>
  <c r="AG38" i="1"/>
  <c r="AF38" i="1"/>
  <c r="AE38" i="1"/>
  <c r="AD38" i="1"/>
  <c r="Z38" i="1"/>
  <c r="J38" i="1"/>
  <c r="AL38" i="1" s="1"/>
  <c r="I38" i="1"/>
  <c r="BJ36" i="1"/>
  <c r="BF36" i="1"/>
  <c r="BD36" i="1"/>
  <c r="AP36" i="1"/>
  <c r="AO36" i="1"/>
  <c r="H36" i="1" s="1"/>
  <c r="AK36" i="1"/>
  <c r="AJ36" i="1"/>
  <c r="AH36" i="1"/>
  <c r="AG36" i="1"/>
  <c r="AF36" i="1"/>
  <c r="AE36" i="1"/>
  <c r="AD36" i="1"/>
  <c r="Z36" i="1"/>
  <c r="J36" i="1"/>
  <c r="AL36" i="1" s="1"/>
  <c r="BJ35" i="1"/>
  <c r="BF35" i="1"/>
  <c r="BD35" i="1"/>
  <c r="AP35" i="1"/>
  <c r="I35" i="1" s="1"/>
  <c r="AO35" i="1"/>
  <c r="AW35" i="1" s="1"/>
  <c r="AK35" i="1"/>
  <c r="AJ35" i="1"/>
  <c r="AH35" i="1"/>
  <c r="AG35" i="1"/>
  <c r="AF35" i="1"/>
  <c r="AE35" i="1"/>
  <c r="AD35" i="1"/>
  <c r="Z35" i="1"/>
  <c r="J35" i="1"/>
  <c r="AL35" i="1" s="1"/>
  <c r="BJ32" i="1"/>
  <c r="BF32" i="1"/>
  <c r="BD32" i="1"/>
  <c r="AP32" i="1"/>
  <c r="AO32" i="1"/>
  <c r="H32" i="1" s="1"/>
  <c r="H31" i="1" s="1"/>
  <c r="E15" i="2" s="1"/>
  <c r="AK32" i="1"/>
  <c r="AJ32" i="1"/>
  <c r="AS31" i="1" s="1"/>
  <c r="AH32" i="1"/>
  <c r="AG32" i="1"/>
  <c r="AF32" i="1"/>
  <c r="AE32" i="1"/>
  <c r="AD32" i="1"/>
  <c r="Z32" i="1"/>
  <c r="J32" i="1"/>
  <c r="J31" i="1" s="1"/>
  <c r="G15" i="2" s="1"/>
  <c r="I15" i="2" s="1"/>
  <c r="AT31" i="1"/>
  <c r="BJ30" i="1"/>
  <c r="BF30" i="1"/>
  <c r="BD30" i="1"/>
  <c r="AP30" i="1"/>
  <c r="BI30" i="1" s="1"/>
  <c r="AC30" i="1" s="1"/>
  <c r="AO30" i="1"/>
  <c r="BH30" i="1" s="1"/>
  <c r="AB30" i="1" s="1"/>
  <c r="AK30" i="1"/>
  <c r="AJ30" i="1"/>
  <c r="AH30" i="1"/>
  <c r="AG30" i="1"/>
  <c r="AF30" i="1"/>
  <c r="AE30" i="1"/>
  <c r="AD30" i="1"/>
  <c r="Z30" i="1"/>
  <c r="J30" i="1"/>
  <c r="AL30" i="1" s="1"/>
  <c r="BJ29" i="1"/>
  <c r="BF29" i="1"/>
  <c r="BD29" i="1"/>
  <c r="AP29" i="1"/>
  <c r="AO29" i="1"/>
  <c r="BH29" i="1" s="1"/>
  <c r="AB29" i="1" s="1"/>
  <c r="AK29" i="1"/>
  <c r="AJ29" i="1"/>
  <c r="AH29" i="1"/>
  <c r="AG29" i="1"/>
  <c r="AF29" i="1"/>
  <c r="AE29" i="1"/>
  <c r="AD29" i="1"/>
  <c r="Z29" i="1"/>
  <c r="J29" i="1"/>
  <c r="AL29" i="1" s="1"/>
  <c r="BJ28" i="1"/>
  <c r="BF28" i="1"/>
  <c r="BD28" i="1"/>
  <c r="AP28" i="1"/>
  <c r="BI28" i="1" s="1"/>
  <c r="AC28" i="1" s="1"/>
  <c r="AO28" i="1"/>
  <c r="BH28" i="1" s="1"/>
  <c r="AK28" i="1"/>
  <c r="AJ28" i="1"/>
  <c r="AH28" i="1"/>
  <c r="AG28" i="1"/>
  <c r="AF28" i="1"/>
  <c r="AE28" i="1"/>
  <c r="AD28" i="1"/>
  <c r="AB28" i="1"/>
  <c r="Z28" i="1"/>
  <c r="J28" i="1"/>
  <c r="AL28" i="1" s="1"/>
  <c r="H28" i="1"/>
  <c r="BJ26" i="1"/>
  <c r="Z26" i="1" s="1"/>
  <c r="BF26" i="1"/>
  <c r="BD26" i="1"/>
  <c r="AP26" i="1"/>
  <c r="AO26" i="1"/>
  <c r="BH26" i="1" s="1"/>
  <c r="AK26" i="1"/>
  <c r="AJ26" i="1"/>
  <c r="AH26" i="1"/>
  <c r="AG26" i="1"/>
  <c r="AF26" i="1"/>
  <c r="AE26" i="1"/>
  <c r="AD26" i="1"/>
  <c r="AC26" i="1"/>
  <c r="AB26" i="1"/>
  <c r="J26" i="1"/>
  <c r="AL26" i="1" s="1"/>
  <c r="BJ25" i="1"/>
  <c r="BF25" i="1"/>
  <c r="BD25" i="1"/>
  <c r="AW25" i="1"/>
  <c r="AP25" i="1"/>
  <c r="BI25" i="1" s="1"/>
  <c r="AC25" i="1" s="1"/>
  <c r="AO25" i="1"/>
  <c r="BH25" i="1" s="1"/>
  <c r="AB25" i="1" s="1"/>
  <c r="AK25" i="1"/>
  <c r="AJ25" i="1"/>
  <c r="AH25" i="1"/>
  <c r="AG25" i="1"/>
  <c r="AF25" i="1"/>
  <c r="AE25" i="1"/>
  <c r="AD25" i="1"/>
  <c r="Z25" i="1"/>
  <c r="J25" i="1"/>
  <c r="AL25" i="1" s="1"/>
  <c r="H25" i="1"/>
  <c r="BJ24" i="1"/>
  <c r="BF24" i="1"/>
  <c r="BD24" i="1"/>
  <c r="AP24" i="1"/>
  <c r="BI24" i="1" s="1"/>
  <c r="AC24" i="1" s="1"/>
  <c r="AO24" i="1"/>
  <c r="BH24" i="1" s="1"/>
  <c r="AB24" i="1" s="1"/>
  <c r="AK24" i="1"/>
  <c r="AJ24" i="1"/>
  <c r="AH24" i="1"/>
  <c r="AG24" i="1"/>
  <c r="AF24" i="1"/>
  <c r="AE24" i="1"/>
  <c r="AD24" i="1"/>
  <c r="Z24" i="1"/>
  <c r="J24" i="1"/>
  <c r="AL24" i="1" s="1"/>
  <c r="I24" i="1"/>
  <c r="BJ23" i="1"/>
  <c r="BF23" i="1"/>
  <c r="BD23" i="1"/>
  <c r="AP23" i="1"/>
  <c r="BI23" i="1" s="1"/>
  <c r="AC23" i="1" s="1"/>
  <c r="AO23" i="1"/>
  <c r="BH23" i="1" s="1"/>
  <c r="AB23" i="1" s="1"/>
  <c r="AK23" i="1"/>
  <c r="AJ23" i="1"/>
  <c r="AH23" i="1"/>
  <c r="AG23" i="1"/>
  <c r="AF23" i="1"/>
  <c r="AE23" i="1"/>
  <c r="AD23" i="1"/>
  <c r="Z23" i="1"/>
  <c r="J23" i="1"/>
  <c r="AL23" i="1" s="1"/>
  <c r="BJ22" i="1"/>
  <c r="BF22" i="1"/>
  <c r="BD22" i="1"/>
  <c r="AP22" i="1"/>
  <c r="AO22" i="1"/>
  <c r="BH22" i="1" s="1"/>
  <c r="AB22" i="1" s="1"/>
  <c r="AK22" i="1"/>
  <c r="AJ22" i="1"/>
  <c r="AH22" i="1"/>
  <c r="AG22" i="1"/>
  <c r="AF22" i="1"/>
  <c r="AE22" i="1"/>
  <c r="AD22" i="1"/>
  <c r="Z22" i="1"/>
  <c r="J22" i="1"/>
  <c r="AL22" i="1" s="1"/>
  <c r="BJ21" i="1"/>
  <c r="BF21" i="1"/>
  <c r="BD21" i="1"/>
  <c r="AP21" i="1"/>
  <c r="BI21" i="1" s="1"/>
  <c r="AC21" i="1" s="1"/>
  <c r="AO21" i="1"/>
  <c r="BH21" i="1" s="1"/>
  <c r="AB21" i="1" s="1"/>
  <c r="AK21" i="1"/>
  <c r="AJ21" i="1"/>
  <c r="AH21" i="1"/>
  <c r="AG21" i="1"/>
  <c r="AF21" i="1"/>
  <c r="AE21" i="1"/>
  <c r="AD21" i="1"/>
  <c r="Z21" i="1"/>
  <c r="J21" i="1"/>
  <c r="AL21" i="1" s="1"/>
  <c r="I21" i="1"/>
  <c r="BJ19" i="1"/>
  <c r="BF19" i="1"/>
  <c r="BD19" i="1"/>
  <c r="AP19" i="1"/>
  <c r="AO19" i="1"/>
  <c r="BH19" i="1" s="1"/>
  <c r="AB19" i="1" s="1"/>
  <c r="AK19" i="1"/>
  <c r="AJ19" i="1"/>
  <c r="AH19" i="1"/>
  <c r="AG19" i="1"/>
  <c r="AF19" i="1"/>
  <c r="AE19" i="1"/>
  <c r="AD19" i="1"/>
  <c r="Z19" i="1"/>
  <c r="J19" i="1"/>
  <c r="AL19" i="1" s="1"/>
  <c r="BJ18" i="1"/>
  <c r="BF18" i="1"/>
  <c r="BD18" i="1"/>
  <c r="AP18" i="1"/>
  <c r="BI18" i="1" s="1"/>
  <c r="AC18" i="1" s="1"/>
  <c r="AO18" i="1"/>
  <c r="BH18" i="1" s="1"/>
  <c r="AB18" i="1" s="1"/>
  <c r="AK18" i="1"/>
  <c r="AJ18" i="1"/>
  <c r="AH18" i="1"/>
  <c r="AG18" i="1"/>
  <c r="AF18" i="1"/>
  <c r="AE18" i="1"/>
  <c r="AD18" i="1"/>
  <c r="Z18" i="1"/>
  <c r="J18" i="1"/>
  <c r="AL18" i="1" s="1"/>
  <c r="BJ16" i="1"/>
  <c r="BF16" i="1"/>
  <c r="BD16" i="1"/>
  <c r="AP16" i="1"/>
  <c r="BI16" i="1" s="1"/>
  <c r="AC16" i="1" s="1"/>
  <c r="AO16" i="1"/>
  <c r="BH16" i="1" s="1"/>
  <c r="AB16" i="1" s="1"/>
  <c r="AK16" i="1"/>
  <c r="AJ16" i="1"/>
  <c r="AH16" i="1"/>
  <c r="AG16" i="1"/>
  <c r="AF16" i="1"/>
  <c r="AE16" i="1"/>
  <c r="AD16" i="1"/>
  <c r="Z16" i="1"/>
  <c r="J16" i="1"/>
  <c r="BJ14" i="1"/>
  <c r="BF14" i="1"/>
  <c r="BD14" i="1"/>
  <c r="AP14" i="1"/>
  <c r="BI14" i="1" s="1"/>
  <c r="AC14" i="1" s="1"/>
  <c r="AO14" i="1"/>
  <c r="BH14" i="1" s="1"/>
  <c r="AB14" i="1" s="1"/>
  <c r="AK14" i="1"/>
  <c r="AJ14" i="1"/>
  <c r="AH14" i="1"/>
  <c r="AG14" i="1"/>
  <c r="AF14" i="1"/>
  <c r="AE14" i="1"/>
  <c r="AD14" i="1"/>
  <c r="Z14" i="1"/>
  <c r="J14" i="1"/>
  <c r="AL14" i="1" s="1"/>
  <c r="BJ13" i="1"/>
  <c r="BF13" i="1"/>
  <c r="BD13" i="1"/>
  <c r="AP13" i="1"/>
  <c r="AO13" i="1"/>
  <c r="BH13" i="1" s="1"/>
  <c r="AB13" i="1" s="1"/>
  <c r="AK13" i="1"/>
  <c r="AJ13" i="1"/>
  <c r="AH13" i="1"/>
  <c r="AG13" i="1"/>
  <c r="AF13" i="1"/>
  <c r="AE13" i="1"/>
  <c r="AD13" i="1"/>
  <c r="Z13" i="1"/>
  <c r="J13" i="1"/>
  <c r="AL13" i="1" s="1"/>
  <c r="I13" i="1"/>
  <c r="AU1" i="1"/>
  <c r="AT1" i="1"/>
  <c r="AS1" i="1"/>
  <c r="I16" i="1" l="1"/>
  <c r="I14" i="1"/>
  <c r="J15" i="1"/>
  <c r="G12" i="2" s="1"/>
  <c r="I12" i="2" s="1"/>
  <c r="J34" i="1"/>
  <c r="G16" i="2" s="1"/>
  <c r="I16" i="2" s="1"/>
  <c r="F15" i="3"/>
  <c r="F22" i="3" s="1"/>
  <c r="I25" i="1"/>
  <c r="AS15" i="1"/>
  <c r="I28" i="1"/>
  <c r="H26" i="1"/>
  <c r="H45" i="1"/>
  <c r="I18" i="1"/>
  <c r="AW45" i="1"/>
  <c r="I30" i="1"/>
  <c r="AX30" i="1"/>
  <c r="AW28" i="1"/>
  <c r="H29" i="1"/>
  <c r="AT40" i="1"/>
  <c r="AW43" i="1"/>
  <c r="AU20" i="1"/>
  <c r="C19" i="3"/>
  <c r="H21" i="1"/>
  <c r="AS27" i="1"/>
  <c r="H13" i="1"/>
  <c r="C20" i="3"/>
  <c r="AW14" i="1"/>
  <c r="AW16" i="1"/>
  <c r="AT15" i="1"/>
  <c r="AW18" i="1"/>
  <c r="BC18" i="1" s="1"/>
  <c r="H19" i="1"/>
  <c r="I23" i="1"/>
  <c r="AX23" i="1"/>
  <c r="AW24" i="1"/>
  <c r="J27" i="1"/>
  <c r="G14" i="2" s="1"/>
  <c r="I14" i="2" s="1"/>
  <c r="AT27" i="1"/>
  <c r="AT34" i="1"/>
  <c r="AU12" i="1"/>
  <c r="H35" i="1"/>
  <c r="AS34" i="1"/>
  <c r="AX42" i="1"/>
  <c r="C16" i="3"/>
  <c r="I12" i="1"/>
  <c r="F11" i="2" s="1"/>
  <c r="AS12" i="1"/>
  <c r="AW13" i="1"/>
  <c r="H14" i="1"/>
  <c r="H16" i="1"/>
  <c r="AL16" i="1"/>
  <c r="AU15" i="1" s="1"/>
  <c r="AX16" i="1"/>
  <c r="H18" i="1"/>
  <c r="AW21" i="1"/>
  <c r="H22" i="1"/>
  <c r="AS20" i="1"/>
  <c r="H24" i="1"/>
  <c r="AX24" i="1"/>
  <c r="AV24" i="1" s="1"/>
  <c r="AX38" i="1"/>
  <c r="I42" i="1"/>
  <c r="J12" i="1"/>
  <c r="G11" i="2" s="1"/>
  <c r="I11" i="2" s="1"/>
  <c r="AT12" i="1"/>
  <c r="AX19" i="1"/>
  <c r="I19" i="1"/>
  <c r="BC24" i="1"/>
  <c r="AW42" i="1"/>
  <c r="H42" i="1"/>
  <c r="H40" i="1" s="1"/>
  <c r="E17" i="2" s="1"/>
  <c r="AX26" i="1"/>
  <c r="I26" i="1"/>
  <c r="BI26" i="1"/>
  <c r="AX36" i="1"/>
  <c r="I36" i="1"/>
  <c r="I34" i="1" s="1"/>
  <c r="F16" i="2" s="1"/>
  <c r="BI36" i="1"/>
  <c r="AC36" i="1" s="1"/>
  <c r="AW38" i="1"/>
  <c r="H38" i="1"/>
  <c r="BH42" i="1"/>
  <c r="C17" i="3"/>
  <c r="C27" i="3"/>
  <c r="AX13" i="1"/>
  <c r="BI13" i="1"/>
  <c r="AC13" i="1" s="1"/>
  <c r="I15" i="1"/>
  <c r="F12" i="2" s="1"/>
  <c r="J20" i="1"/>
  <c r="G13" i="2" s="1"/>
  <c r="I13" i="2" s="1"/>
  <c r="AT20" i="1"/>
  <c r="AX22" i="1"/>
  <c r="I22" i="1"/>
  <c r="BI22" i="1"/>
  <c r="AC22" i="1" s="1"/>
  <c r="AW23" i="1"/>
  <c r="H23" i="1"/>
  <c r="AU27" i="1"/>
  <c r="AX29" i="1"/>
  <c r="I29" i="1"/>
  <c r="BI29" i="1"/>
  <c r="AC29" i="1" s="1"/>
  <c r="AW30" i="1"/>
  <c r="H30" i="1"/>
  <c r="AX32" i="1"/>
  <c r="I32" i="1"/>
  <c r="I31" i="1" s="1"/>
  <c r="F15" i="2" s="1"/>
  <c r="BI32" i="1"/>
  <c r="AC32" i="1" s="1"/>
  <c r="BH38" i="1"/>
  <c r="AB38" i="1" s="1"/>
  <c r="J40" i="1"/>
  <c r="G17" i="2" s="1"/>
  <c r="I17" i="2" s="1"/>
  <c r="AX41" i="1"/>
  <c r="I41" i="1"/>
  <c r="BI41" i="1"/>
  <c r="AV43" i="1"/>
  <c r="BC43" i="1"/>
  <c r="AV16" i="1"/>
  <c r="BI19" i="1"/>
  <c r="AC19" i="1" s="1"/>
  <c r="C21" i="3"/>
  <c r="C18" i="3"/>
  <c r="C28" i="3"/>
  <c r="F28" i="3" s="1"/>
  <c r="AU34" i="1"/>
  <c r="AS40" i="1"/>
  <c r="AX44" i="1"/>
  <c r="I44" i="1"/>
  <c r="BI44" i="1"/>
  <c r="AX14" i="1"/>
  <c r="AV14" i="1" s="1"/>
  <c r="AX18" i="1"/>
  <c r="AW19" i="1"/>
  <c r="AX21" i="1"/>
  <c r="AW22" i="1"/>
  <c r="AX25" i="1"/>
  <c r="AV25" i="1" s="1"/>
  <c r="AW26" i="1"/>
  <c r="AX28" i="1"/>
  <c r="AV28" i="1" s="1"/>
  <c r="AW29" i="1"/>
  <c r="AL32" i="1"/>
  <c r="AU31" i="1" s="1"/>
  <c r="AW32" i="1"/>
  <c r="AX35" i="1"/>
  <c r="BC35" i="1" s="1"/>
  <c r="BH35" i="1"/>
  <c r="AB35" i="1" s="1"/>
  <c r="AW36" i="1"/>
  <c r="AL41" i="1"/>
  <c r="AU40" i="1" s="1"/>
  <c r="AW41" i="1"/>
  <c r="BI43" i="1"/>
  <c r="AW44" i="1"/>
  <c r="BH32" i="1"/>
  <c r="AB32" i="1" s="1"/>
  <c r="BI35" i="1"/>
  <c r="AC35" i="1" s="1"/>
  <c r="BH36" i="1"/>
  <c r="AB36" i="1" s="1"/>
  <c r="BH41" i="1"/>
  <c r="BH44" i="1"/>
  <c r="AX45" i="1"/>
  <c r="BC13" i="1" l="1"/>
  <c r="AV45" i="1"/>
  <c r="C14" i="3"/>
  <c r="I20" i="1"/>
  <c r="F13" i="2" s="1"/>
  <c r="AV21" i="1"/>
  <c r="H34" i="1"/>
  <c r="E16" i="2" s="1"/>
  <c r="H27" i="1"/>
  <c r="E14" i="2" s="1"/>
  <c r="H20" i="1"/>
  <c r="E13" i="2" s="1"/>
  <c r="I27" i="1"/>
  <c r="F14" i="2" s="1"/>
  <c r="I40" i="1"/>
  <c r="F17" i="2" s="1"/>
  <c r="AV18" i="1"/>
  <c r="BC16" i="1"/>
  <c r="H15" i="1"/>
  <c r="E12" i="2" s="1"/>
  <c r="H12" i="1"/>
  <c r="E11" i="2" s="1"/>
  <c r="AV13" i="1"/>
  <c r="BC42" i="1"/>
  <c r="AV42" i="1"/>
  <c r="AV26" i="1"/>
  <c r="BC26" i="1"/>
  <c r="G18" i="2"/>
  <c r="C15" i="3"/>
  <c r="C22" i="3" s="1"/>
  <c r="H21" i="4" s="1"/>
  <c r="I21" i="4" s="1"/>
  <c r="BC45" i="1"/>
  <c r="AV44" i="1"/>
  <c r="BC44" i="1"/>
  <c r="AV41" i="1"/>
  <c r="BC41" i="1"/>
  <c r="BC21" i="1"/>
  <c r="AV32" i="1"/>
  <c r="BC32" i="1"/>
  <c r="AV19" i="1"/>
  <c r="BC19" i="1"/>
  <c r="BC30" i="1"/>
  <c r="AV30" i="1"/>
  <c r="AV36" i="1"/>
  <c r="BC36" i="1"/>
  <c r="AV35" i="1"/>
  <c r="BC25" i="1"/>
  <c r="AV29" i="1"/>
  <c r="BC29" i="1"/>
  <c r="AV22" i="1"/>
  <c r="BC22" i="1"/>
  <c r="BC28" i="1"/>
  <c r="J46" i="1"/>
  <c r="BC23" i="1"/>
  <c r="AV23" i="1"/>
  <c r="BC38" i="1"/>
  <c r="AV38" i="1"/>
  <c r="BC14" i="1"/>
  <c r="I27" i="4" l="1"/>
  <c r="F29" i="4" s="1"/>
  <c r="I14" i="3"/>
  <c r="I22" i="3" s="1"/>
  <c r="C29" i="3" s="1"/>
  <c r="F29" i="3" l="1"/>
  <c r="I28" i="3"/>
  <c r="I29" i="3" l="1"/>
</calcChain>
</file>

<file path=xl/sharedStrings.xml><?xml version="1.0" encoding="utf-8"?>
<sst xmlns="http://schemas.openxmlformats.org/spreadsheetml/2006/main" count="591" uniqueCount="215">
  <si>
    <t>Slepý stavební rozpočet</t>
  </si>
  <si>
    <t>Název stavby:</t>
  </si>
  <si>
    <t>Doba výstavby:</t>
  </si>
  <si>
    <t xml:space="preserve"> </t>
  </si>
  <si>
    <t>Objednatel:</t>
  </si>
  <si>
    <t>Národní hřebčín Kladruby nad Labem</t>
  </si>
  <si>
    <t>Druh stavby:</t>
  </si>
  <si>
    <t>Začátek výstavby:</t>
  </si>
  <si>
    <t>26.06.2025</t>
  </si>
  <si>
    <t>Projektant:</t>
  </si>
  <si>
    <t> </t>
  </si>
  <si>
    <t>Lokalita:</t>
  </si>
  <si>
    <t>k.ú. Selmice, parc.č. 1162</t>
  </si>
  <si>
    <t>Konec výstavby:</t>
  </si>
  <si>
    <t>Zhotovitel:</t>
  </si>
  <si>
    <t>Projektový servis Chrudim s.r.o.</t>
  </si>
  <si>
    <t>JKSO:</t>
  </si>
  <si>
    <t>Zpracováno dne:</t>
  </si>
  <si>
    <t>Zpracoval:</t>
  </si>
  <si>
    <t>Č</t>
  </si>
  <si>
    <t>Kód</t>
  </si>
  <si>
    <t>Zkrácený popis / Varianta</t>
  </si>
  <si>
    <t>MJ</t>
  </si>
  <si>
    <t>Množství</t>
  </si>
  <si>
    <t>Cena/MJ</t>
  </si>
  <si>
    <t>Náklady (Kč)</t>
  </si>
  <si>
    <t>Cenová</t>
  </si>
  <si>
    <t>ISWORK</t>
  </si>
  <si>
    <t>GROUPCODE</t>
  </si>
  <si>
    <t>VATTAX</t>
  </si>
  <si>
    <t>Rozměry</t>
  </si>
  <si>
    <t>(Kč)</t>
  </si>
  <si>
    <t>Dodávka</t>
  </si>
  <si>
    <t>Montáž</t>
  </si>
  <si>
    <t>Celkem</t>
  </si>
  <si>
    <t>soustava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</si>
  <si>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</si>
  <si>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</si>
  <si>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</si>
  <si>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</si>
  <si>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</si>
  <si>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</si>
  <si>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</si>
  <si>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</si>
  <si>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</si>
  <si>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MAT</t>
  </si>
  <si>
    <t>WORK</t>
  </si>
  <si>
    <t>CELK</t>
  </si>
  <si>
    <t/>
  </si>
  <si>
    <t>11</t>
  </si>
  <si>
    <t>Přípravné a přidružené práce</t>
  </si>
  <si>
    <t>1</t>
  </si>
  <si>
    <t>111203201R00</t>
  </si>
  <si>
    <t>Odstranění křovin s ponech. kořenů, pl.do 1000 m2</t>
  </si>
  <si>
    <t>m2</t>
  </si>
  <si>
    <t>RTS II / 2024</t>
  </si>
  <si>
    <t>11_</t>
  </si>
  <si>
    <t>1_</t>
  </si>
  <si>
    <t>_</t>
  </si>
  <si>
    <t>2</t>
  </si>
  <si>
    <t>113152112R00</t>
  </si>
  <si>
    <t>Odstranění podkladu z kameniva drceného</t>
  </si>
  <si>
    <t>m3</t>
  </si>
  <si>
    <t>16</t>
  </si>
  <si>
    <t>Přemístění výkopku</t>
  </si>
  <si>
    <t>3</t>
  </si>
  <si>
    <t>167103101R00</t>
  </si>
  <si>
    <t>Nakládání výkopku zeminy schopné zúrodnění</t>
  </si>
  <si>
    <t>16_</t>
  </si>
  <si>
    <t>Poznámka:</t>
  </si>
  <si>
    <t>dovoz zeminy z areálu investora</t>
  </si>
  <si>
    <t>4</t>
  </si>
  <si>
    <t>162701105R00</t>
  </si>
  <si>
    <t>Vodorovné přemístění výkopku z hor.1-4 do 10000 m</t>
  </si>
  <si>
    <t>5</t>
  </si>
  <si>
    <t>162701109R00</t>
  </si>
  <si>
    <t>Příplatek k vod. přemístění hor.1-4 za další 1 km</t>
  </si>
  <si>
    <t>18</t>
  </si>
  <si>
    <t>Povrchové úpravy terénu</t>
  </si>
  <si>
    <t>6</t>
  </si>
  <si>
    <t>180401211R00</t>
  </si>
  <si>
    <t>Založení trávníku lučního výsevem v rovině</t>
  </si>
  <si>
    <t>18_</t>
  </si>
  <si>
    <t>7</t>
  </si>
  <si>
    <t>00572472</t>
  </si>
  <si>
    <t>Směs travní luční III. - dlouhodobá PROFI</t>
  </si>
  <si>
    <t>kg</t>
  </si>
  <si>
    <t>8</t>
  </si>
  <si>
    <t>181006116R00</t>
  </si>
  <si>
    <t>Rozprostření zemin v rov./sklonu 1:5, tl. do 50 cm</t>
  </si>
  <si>
    <t>9</t>
  </si>
  <si>
    <t>185851111R00</t>
  </si>
  <si>
    <t>Dovoz vody pro zálivku rostlin do 6 km</t>
  </si>
  <si>
    <t>10</t>
  </si>
  <si>
    <t>185804312R00</t>
  </si>
  <si>
    <t>Zalití rostlin vodou plochy nad 20 m2</t>
  </si>
  <si>
    <t>998231311R00</t>
  </si>
  <si>
    <t>Přesun hmot pro sadovnické a krajin. úpravy do 5km</t>
  </si>
  <si>
    <t>t</t>
  </si>
  <si>
    <t>94</t>
  </si>
  <si>
    <t>Lešení a stavební výtahy</t>
  </si>
  <si>
    <t>12</t>
  </si>
  <si>
    <t>941941041R00</t>
  </si>
  <si>
    <t>Montáž lešení leh.řad.s podlahami,š.1,2 m, H 10 m</t>
  </si>
  <si>
    <t>94_</t>
  </si>
  <si>
    <t>9_</t>
  </si>
  <si>
    <t>13</t>
  </si>
  <si>
    <t>941941291R00</t>
  </si>
  <si>
    <t>Příplatek za každý měsíc použití lešení k pol.1041</t>
  </si>
  <si>
    <t>14</t>
  </si>
  <si>
    <t>941941841R00</t>
  </si>
  <si>
    <t>Demontáž lešení leh.řad.s podlahami,š.1,2 m,H 10 m</t>
  </si>
  <si>
    <t>95</t>
  </si>
  <si>
    <t>Různé dokončovací konstrukce a práce na pozemních stavbách</t>
  </si>
  <si>
    <t>15</t>
  </si>
  <si>
    <t>950-11VD</t>
  </si>
  <si>
    <t>Rozřezání kov. smalt. zásobníku vč. technologie se složením na místě pomocí autojeřábu</t>
  </si>
  <si>
    <t>soubor</t>
  </si>
  <si>
    <t>95_</t>
  </si>
  <si>
    <t>Varianta:</t>
  </si>
  <si>
    <t>hmotnost zásobníku cca 7,75t</t>
  </si>
  <si>
    <t>96</t>
  </si>
  <si>
    <t>Bourání konstrukcí</t>
  </si>
  <si>
    <t>962032231R00</t>
  </si>
  <si>
    <t>Bourání zdiva z cihel pálených na MVC</t>
  </si>
  <si>
    <t>96_</t>
  </si>
  <si>
    <t>17</t>
  </si>
  <si>
    <t>965042241RT6</t>
  </si>
  <si>
    <t>Bourání mazanin betonových tl. nad 10 cm, nad 4 m2</t>
  </si>
  <si>
    <t>pneumat. kladivo, tl. mazaniny nad 20 cm</t>
  </si>
  <si>
    <t>965049112RT2</t>
  </si>
  <si>
    <t>Příplatek, bourání mazanin se svař.síťí nad 10 cm</t>
  </si>
  <si>
    <t>oboustranná výztuž svařovanou sítí</t>
  </si>
  <si>
    <t>S</t>
  </si>
  <si>
    <t>Přesuny sutí</t>
  </si>
  <si>
    <t>19</t>
  </si>
  <si>
    <t>979081111R00</t>
  </si>
  <si>
    <t>Odvoz suti a vybour. hmot na skládku do 1 km</t>
  </si>
  <si>
    <t>S_</t>
  </si>
  <si>
    <t>20</t>
  </si>
  <si>
    <t>979081121R00</t>
  </si>
  <si>
    <t>Příplatek k odvozu za každý další 1 km</t>
  </si>
  <si>
    <t>21</t>
  </si>
  <si>
    <t>979082111R00</t>
  </si>
  <si>
    <t>Vnitrostaveništní doprava suti do 10 m</t>
  </si>
  <si>
    <t>23</t>
  </si>
  <si>
    <t>979999973R00</t>
  </si>
  <si>
    <t>Poplatek za uložení, zemina a kamení, (skup.170504)</t>
  </si>
  <si>
    <t>24</t>
  </si>
  <si>
    <t>979999997R00</t>
  </si>
  <si>
    <t>Poplatek za recyklaci směsi suti betonu, cihel, tašek a keram.výrobků, kusovost do 1600 cm2 (170107)</t>
  </si>
  <si>
    <t>Celkem:</t>
  </si>
  <si>
    <t>Slepý stavební rozpočet - rekapitulace</t>
  </si>
  <si>
    <t>Zkrácený popis</t>
  </si>
  <si>
    <t>Náklady (Kč) - dodávka</t>
  </si>
  <si>
    <t>Náklady (Kč) - Montáž</t>
  </si>
  <si>
    <t>Náklady (Kč) - celkem</t>
  </si>
  <si>
    <t>T</t>
  </si>
  <si>
    <t>Krycí list slepého rozpočtu</t>
  </si>
  <si>
    <t>IČO/DIČ:</t>
  </si>
  <si>
    <t>Položek:</t>
  </si>
  <si>
    <t>Datum:</t>
  </si>
  <si>
    <t>Rozpočtové náklady v Kč</t>
  </si>
  <si>
    <t>A</t>
  </si>
  <si>
    <t>Základní rozpočtové náklady</t>
  </si>
  <si>
    <t>B</t>
  </si>
  <si>
    <t>Doplňkové náklady</t>
  </si>
  <si>
    <t>C</t>
  </si>
  <si>
    <t>Náklady na umístění stavby (NUS)</t>
  </si>
  <si>
    <t>HSV</t>
  </si>
  <si>
    <t>Dodávky</t>
  </si>
  <si>
    <t>Práce přesčas</t>
  </si>
  <si>
    <t>Zařízení staveniště</t>
  </si>
  <si>
    <t>Bez pevné podl.</t>
  </si>
  <si>
    <t>Mimostav. doprava</t>
  </si>
  <si>
    <t>PSV</t>
  </si>
  <si>
    <t>Kulturní památka</t>
  </si>
  <si>
    <t>Územní vlivy</t>
  </si>
  <si>
    <t>Provozní vlivy</t>
  </si>
  <si>
    <t>"M"</t>
  </si>
  <si>
    <t>Ostatní</t>
  </si>
  <si>
    <t>NUS z rozpočtu</t>
  </si>
  <si>
    <t>Ostatní materiál</t>
  </si>
  <si>
    <t>Přesun hmot a sutí</t>
  </si>
  <si>
    <t>ZRN celkem</t>
  </si>
  <si>
    <t>DN celkem</t>
  </si>
  <si>
    <t>NUS celkem</t>
  </si>
  <si>
    <t>DN celkem z obj.</t>
  </si>
  <si>
    <t>NUS celkem z obj.</t>
  </si>
  <si>
    <t>VORN celkem</t>
  </si>
  <si>
    <t>VORN celkem z obj.</t>
  </si>
  <si>
    <t>Základ 0%</t>
  </si>
  <si>
    <t>Základ 12%</t>
  </si>
  <si>
    <t>DPH 12%</t>
  </si>
  <si>
    <t>Celkem bez DPH</t>
  </si>
  <si>
    <t>Základ 21%</t>
  </si>
  <si>
    <t>DPH 21%</t>
  </si>
  <si>
    <t>Celkem včetně DPH</t>
  </si>
  <si>
    <t>Projektant</t>
  </si>
  <si>
    <t>Objednatel</t>
  </si>
  <si>
    <t>Zhotovitel</t>
  </si>
  <si>
    <t>Datum, razítko a podpis</t>
  </si>
  <si>
    <t>Vedlejší a ostatní rozpočtové náklady</t>
  </si>
  <si>
    <t>Vedlejší rozpočtové náklady VRN</t>
  </si>
  <si>
    <t>Doplňkové náklady DN</t>
  </si>
  <si>
    <t>Kč</t>
  </si>
  <si>
    <t>%</t>
  </si>
  <si>
    <t>Základna</t>
  </si>
  <si>
    <t>Celkem DN</t>
  </si>
  <si>
    <t>Celkem NUS</t>
  </si>
  <si>
    <t>Celkem VRN</t>
  </si>
  <si>
    <t>Ostatní rozpočtové náklady ORN</t>
  </si>
  <si>
    <t>Ostatní rozpočtové náklady (ORN)</t>
  </si>
  <si>
    <t>Celkem ORN</t>
  </si>
  <si>
    <t>Odstranění kovového zásobníku v Selmicích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</si>
</sst>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Calibri"/>
      <charset val="1"/>
    </font>
    <font>
      <sz val="18"/>
      <color rgb="FF000000"/>
      <name val="Arial"/>
      <charset val="238"/>
    </font>
    <font>
      <b/>
      <sz val="10"/>
      <color rgb="FF000000"/>
      <name val="Arial"/>
      <charset val="238"/>
    </font>
    <font>
      <sz val="10"/>
      <color rgb="FF000000"/>
      <name val="Arial"/>
      <charset val="238"/>
    </font>
    <font>
      <sz val="10"/>
      <color rgb="FF800000"/>
      <name val="Arial"/>
      <charset val="238"/>
    </font>
    <font>
      <i/>
      <sz val="10"/>
      <color rgb="FF000000"/>
      <name val="Arial"/>
      <charset val="238"/>
    </font>
    <font>
      <i/>
      <sz val="8"/>
      <color rgb="FF000000"/>
      <name val="Arial"/>
      <charset val="238"/>
    </font>
    <font>
      <b/>
      <sz val="18"/>
      <color rgb="FF000000"/>
      <name val="Arial"/>
      <charset val="238"/>
    </font>
    <font>
      <b/>
      <sz val="20"/>
      <color rgb="FF000000"/>
      <name val="Arial"/>
      <charset val="238"/>
    </font>
    <font>
      <b/>
      <sz val="11"/>
      <color rgb="FF000000"/>
      <name val="Arial"/>
      <charset val="238"/>
    </font>
    <font>
      <b/>
      <sz val="12"/>
      <color rgb="FF000000"/>
      <name val="Arial"/>
      <charset val="238"/>
    </font>
    <font>
      <sz val="12"/>
      <color rgb="FF000000"/>
      <name val="Arial"/>
      <charset val="238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7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70">
    <xf numFmtId="0" fontId="0" fillId="0" borderId="0" xfId="0"/>
    <xf numFmtId="4" fontId="2" fillId="2" borderId="0" xfId="0" applyNumberFormat="1" applyFont="1" applyFill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3" fillId="2" borderId="28" xfId="0" applyFont="1" applyFill="1" applyBorder="1" applyAlignment="1">
      <alignment horizontal="left" vertical="center"/>
    </xf>
    <xf numFmtId="0" fontId="2" fillId="2" borderId="29" xfId="0" applyFont="1" applyFill="1" applyBorder="1" applyAlignment="1">
      <alignment horizontal="left" vertical="center"/>
    </xf>
    <xf numFmtId="0" fontId="3" fillId="2" borderId="29" xfId="0" applyFont="1" applyFill="1" applyBorder="1" applyAlignment="1">
      <alignment horizontal="left" vertical="center"/>
    </xf>
    <xf numFmtId="4" fontId="2" fillId="2" borderId="29" xfId="0" applyNumberFormat="1" applyFont="1" applyFill="1" applyBorder="1" applyAlignment="1">
      <alignment horizontal="right" vertical="center"/>
    </xf>
    <xf numFmtId="0" fontId="2" fillId="2" borderId="30" xfId="0" applyFont="1" applyFill="1" applyBorder="1" applyAlignment="1">
      <alignment horizontal="right"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4" fontId="4" fillId="0" borderId="0" xfId="0" applyNumberFormat="1" applyFont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2" borderId="5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2" fillId="2" borderId="6" xfId="0" applyFont="1" applyFill="1" applyBorder="1" applyAlignment="1">
      <alignment horizontal="right" vertical="center"/>
    </xf>
    <xf numFmtId="0" fontId="0" fillId="0" borderId="5" xfId="0" applyBorder="1"/>
    <xf numFmtId="0" fontId="5" fillId="0" borderId="0" xfId="0" applyFont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4" fillId="0" borderId="31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4" fontId="4" fillId="0" borderId="32" xfId="0" applyNumberFormat="1" applyFont="1" applyBorder="1" applyAlignment="1">
      <alignment horizontal="right" vertical="center"/>
    </xf>
    <xf numFmtId="0" fontId="4" fillId="0" borderId="33" xfId="0" applyFont="1" applyBorder="1" applyAlignment="1">
      <alignment horizontal="right" vertical="center"/>
    </xf>
    <xf numFmtId="4" fontId="2" fillId="0" borderId="34" xfId="0" applyNumberFormat="1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0" fontId="8" fillId="2" borderId="41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10" fillId="0" borderId="45" xfId="0" applyFont="1" applyBorder="1" applyAlignment="1">
      <alignment horizontal="left" vertical="center"/>
    </xf>
    <xf numFmtId="0" fontId="11" fillId="0" borderId="46" xfId="0" applyFont="1" applyBorder="1" applyAlignment="1">
      <alignment horizontal="left" vertical="center"/>
    </xf>
    <xf numFmtId="4" fontId="11" fillId="0" borderId="46" xfId="0" applyNumberFormat="1" applyFont="1" applyBorder="1" applyAlignment="1">
      <alignment horizontal="right" vertical="center"/>
    </xf>
    <xf numFmtId="0" fontId="11" fillId="0" borderId="46" xfId="0" applyFont="1" applyBorder="1" applyAlignment="1">
      <alignment horizontal="right" vertical="center"/>
    </xf>
    <xf numFmtId="0" fontId="10" fillId="0" borderId="49" xfId="0" applyFont="1" applyBorder="1" applyAlignment="1">
      <alignment horizontal="left" vertical="center"/>
    </xf>
    <xf numFmtId="4" fontId="11" fillId="0" borderId="53" xfId="0" applyNumberFormat="1" applyFont="1" applyBorder="1" applyAlignment="1">
      <alignment horizontal="right" vertical="center"/>
    </xf>
    <xf numFmtId="0" fontId="11" fillId="0" borderId="53" xfId="0" applyFont="1" applyBorder="1" applyAlignment="1">
      <alignment horizontal="right" vertical="center"/>
    </xf>
    <xf numFmtId="4" fontId="11" fillId="0" borderId="44" xfId="0" applyNumberFormat="1" applyFont="1" applyBorder="1" applyAlignment="1">
      <alignment horizontal="right" vertical="center"/>
    </xf>
    <xf numFmtId="4" fontId="11" fillId="0" borderId="25" xfId="0" applyNumberFormat="1" applyFont="1" applyBorder="1" applyAlignment="1">
      <alignment horizontal="right" vertical="center"/>
    </xf>
    <xf numFmtId="4" fontId="10" fillId="2" borderId="43" xfId="0" applyNumberFormat="1" applyFont="1" applyFill="1" applyBorder="1" applyAlignment="1">
      <alignment horizontal="right" vertical="center"/>
    </xf>
    <xf numFmtId="4" fontId="10" fillId="2" borderId="48" xfId="0" applyNumberFormat="1" applyFont="1" applyFill="1" applyBorder="1" applyAlignment="1">
      <alignment horizontal="right" vertical="center"/>
    </xf>
    <xf numFmtId="0" fontId="6" fillId="0" borderId="29" xfId="0" applyFont="1" applyBorder="1" applyAlignment="1">
      <alignment horizontal="left" vertical="center"/>
    </xf>
    <xf numFmtId="0" fontId="2" fillId="0" borderId="69" xfId="0" applyFont="1" applyBorder="1" applyAlignment="1">
      <alignment horizontal="right" vertical="center"/>
    </xf>
    <xf numFmtId="4" fontId="3" fillId="0" borderId="46" xfId="0" applyNumberFormat="1" applyFont="1" applyBorder="1" applyAlignment="1">
      <alignment horizontal="right" vertical="center"/>
    </xf>
    <xf numFmtId="0" fontId="3" fillId="0" borderId="46" xfId="0" applyFont="1" applyBorder="1" applyAlignment="1">
      <alignment horizontal="left" vertical="center"/>
    </xf>
    <xf numFmtId="4" fontId="3" fillId="0" borderId="73" xfId="0" applyNumberFormat="1" applyFont="1" applyBorder="1" applyAlignment="1">
      <alignment horizontal="right" vertical="center"/>
    </xf>
    <xf numFmtId="0" fontId="3" fillId="0" borderId="73" xfId="0" applyFont="1" applyBorder="1" applyAlignment="1">
      <alignment horizontal="left" vertical="center"/>
    </xf>
    <xf numFmtId="0" fontId="2" fillId="0" borderId="76" xfId="0" applyFont="1" applyBorder="1" applyAlignment="1">
      <alignment horizontal="left" vertical="center"/>
    </xf>
    <xf numFmtId="0" fontId="2" fillId="0" borderId="76" xfId="0" applyFont="1" applyBorder="1" applyAlignment="1">
      <alignment horizontal="right" vertical="center"/>
    </xf>
    <xf numFmtId="4" fontId="2" fillId="0" borderId="76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1" fontId="3" fillId="0" borderId="6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/>
    </xf>
    <xf numFmtId="0" fontId="7" fillId="0" borderId="40" xfId="0" applyFont="1" applyBorder="1" applyAlignment="1">
      <alignment horizontal="center" vertical="center"/>
    </xf>
    <xf numFmtId="0" fontId="9" fillId="0" borderId="42" xfId="0" applyFont="1" applyBorder="1" applyAlignment="1">
      <alignment horizontal="left" vertical="center"/>
    </xf>
    <xf numFmtId="0" fontId="9" fillId="0" borderId="43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10" fillId="0" borderId="50" xfId="0" applyFont="1" applyBorder="1" applyAlignment="1">
      <alignment horizontal="left" vertical="center"/>
    </xf>
    <xf numFmtId="0" fontId="10" fillId="0" borderId="48" xfId="0" applyFont="1" applyBorder="1" applyAlignment="1">
      <alignment horizontal="left" vertical="center"/>
    </xf>
    <xf numFmtId="0" fontId="10" fillId="0" borderId="51" xfId="0" applyFont="1" applyBorder="1" applyAlignment="1">
      <alignment horizontal="left" vertical="center"/>
    </xf>
    <xf numFmtId="0" fontId="10" fillId="0" borderId="52" xfId="0" applyFont="1" applyBorder="1" applyAlignment="1">
      <alignment horizontal="left" vertical="center"/>
    </xf>
    <xf numFmtId="0" fontId="10" fillId="0" borderId="55" xfId="0" applyFont="1" applyBorder="1" applyAlignment="1">
      <alignment horizontal="left" vertical="center"/>
    </xf>
    <xf numFmtId="0" fontId="10" fillId="0" borderId="43" xfId="0" applyFont="1" applyBorder="1" applyAlignment="1">
      <alignment horizontal="left" vertical="center"/>
    </xf>
    <xf numFmtId="0" fontId="11" fillId="0" borderId="47" xfId="0" applyFont="1" applyBorder="1" applyAlignment="1">
      <alignment horizontal="left" vertical="center"/>
    </xf>
    <xf numFmtId="0" fontId="11" fillId="0" borderId="48" xfId="0" applyFont="1" applyBorder="1" applyAlignment="1">
      <alignment horizontal="left" vertical="center"/>
    </xf>
    <xf numFmtId="0" fontId="11" fillId="0" borderId="54" xfId="0" applyFont="1" applyBorder="1" applyAlignment="1">
      <alignment horizontal="left" vertical="center"/>
    </xf>
    <xf numFmtId="0" fontId="11" fillId="0" borderId="52" xfId="0" applyFont="1" applyBorder="1" applyAlignment="1">
      <alignment horizontal="left" vertical="center"/>
    </xf>
    <xf numFmtId="0" fontId="10" fillId="0" borderId="42" xfId="0" applyFont="1" applyBorder="1" applyAlignment="1">
      <alignment horizontal="left" vertical="center"/>
    </xf>
    <xf numFmtId="0" fontId="10" fillId="0" borderId="47" xfId="0" applyFont="1" applyBorder="1" applyAlignment="1">
      <alignment horizontal="left" vertical="center"/>
    </xf>
    <xf numFmtId="0" fontId="10" fillId="2" borderId="55" xfId="0" applyFont="1" applyFill="1" applyBorder="1" applyAlignment="1">
      <alignment horizontal="left" vertical="center"/>
    </xf>
    <xf numFmtId="0" fontId="10" fillId="2" borderId="56" xfId="0" applyFont="1" applyFill="1" applyBorder="1" applyAlignment="1">
      <alignment horizontal="left" vertical="center"/>
    </xf>
    <xf numFmtId="0" fontId="10" fillId="2" borderId="50" xfId="0" applyFont="1" applyFill="1" applyBorder="1" applyAlignment="1">
      <alignment horizontal="left" vertical="center"/>
    </xf>
    <xf numFmtId="0" fontId="10" fillId="2" borderId="57" xfId="0" applyFont="1" applyFill="1" applyBorder="1" applyAlignment="1">
      <alignment horizontal="left" vertical="center"/>
    </xf>
    <xf numFmtId="0" fontId="10" fillId="2" borderId="42" xfId="0" applyFont="1" applyFill="1" applyBorder="1" applyAlignment="1">
      <alignment horizontal="left" vertical="center"/>
    </xf>
    <xf numFmtId="0" fontId="10" fillId="2" borderId="47" xfId="0" applyFont="1" applyFill="1" applyBorder="1" applyAlignment="1">
      <alignment horizontal="left" vertical="center"/>
    </xf>
    <xf numFmtId="0" fontId="11" fillId="0" borderId="61" xfId="0" applyFont="1" applyBorder="1" applyAlignment="1">
      <alignment horizontal="left" vertical="center"/>
    </xf>
    <xf numFmtId="0" fontId="11" fillId="0" borderId="59" xfId="0" applyFont="1" applyBorder="1" applyAlignment="1">
      <alignment horizontal="left" vertical="center"/>
    </xf>
    <xf numFmtId="0" fontId="11" fillId="0" borderId="60" xfId="0" applyFont="1" applyBorder="1" applyAlignment="1">
      <alignment horizontal="left" vertical="center"/>
    </xf>
    <xf numFmtId="0" fontId="11" fillId="0" borderId="64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63" xfId="0" applyFont="1" applyBorder="1" applyAlignment="1">
      <alignment horizontal="left" vertical="center"/>
    </xf>
    <xf numFmtId="0" fontId="11" fillId="0" borderId="68" xfId="0" applyFont="1" applyBorder="1" applyAlignment="1">
      <alignment horizontal="left" vertical="center"/>
    </xf>
    <xf numFmtId="0" fontId="11" fillId="0" borderId="66" xfId="0" applyFont="1" applyBorder="1" applyAlignment="1">
      <alignment horizontal="left" vertical="center"/>
    </xf>
    <xf numFmtId="0" fontId="11" fillId="0" borderId="67" xfId="0" applyFont="1" applyBorder="1" applyAlignment="1">
      <alignment horizontal="left" vertical="center"/>
    </xf>
    <xf numFmtId="0" fontId="11" fillId="0" borderId="58" xfId="0" applyFont="1" applyBorder="1" applyAlignment="1">
      <alignment horizontal="left" vertical="center"/>
    </xf>
    <xf numFmtId="0" fontId="11" fillId="0" borderId="62" xfId="0" applyFont="1" applyBorder="1" applyAlignment="1">
      <alignment horizontal="left" vertical="center"/>
    </xf>
    <xf numFmtId="0" fontId="11" fillId="0" borderId="65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29" xfId="0" applyFont="1" applyFill="1" applyBorder="1" applyAlignment="1">
      <alignment horizontal="left" vertical="center" wrapText="1"/>
    </xf>
    <xf numFmtId="0" fontId="2" fillId="2" borderId="29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3" fillId="0" borderId="50" xfId="0" applyFont="1" applyBorder="1" applyAlignment="1">
      <alignment horizontal="left" vertical="center"/>
    </xf>
    <xf numFmtId="0" fontId="3" fillId="0" borderId="57" xfId="0" applyFont="1" applyBorder="1" applyAlignment="1">
      <alignment horizontal="left" vertical="center"/>
    </xf>
    <xf numFmtId="0" fontId="3" fillId="0" borderId="48" xfId="0" applyFont="1" applyBorder="1" applyAlignment="1">
      <alignment horizontal="left" vertical="center"/>
    </xf>
    <xf numFmtId="0" fontId="3" fillId="0" borderId="70" xfId="0" applyFont="1" applyBorder="1" applyAlignment="1">
      <alignment horizontal="left" vertical="center"/>
    </xf>
    <xf numFmtId="0" fontId="3" fillId="0" borderId="71" xfId="0" applyFont="1" applyBorder="1" applyAlignment="1">
      <alignment horizontal="left" vertical="center"/>
    </xf>
    <xf numFmtId="0" fontId="3" fillId="0" borderId="72" xfId="0" applyFont="1" applyBorder="1" applyAlignment="1">
      <alignment horizontal="left" vertical="center"/>
    </xf>
    <xf numFmtId="0" fontId="2" fillId="0" borderId="74" xfId="0" applyFont="1" applyBorder="1" applyAlignment="1">
      <alignment horizontal="left" vertical="center"/>
    </xf>
    <xf numFmtId="0" fontId="2" fillId="0" borderId="75" xfId="0" applyFont="1" applyBorder="1" applyAlignment="1">
      <alignment horizontal="left" vertical="center"/>
    </xf>
    <xf numFmtId="0" fontId="10" fillId="0" borderId="35" xfId="0" applyFont="1" applyBorder="1" applyAlignment="1">
      <alignment horizontal="left" vertical="center"/>
    </xf>
    <xf numFmtId="0" fontId="10" fillId="0" borderId="74" xfId="0" applyFont="1" applyBorder="1" applyAlignment="1">
      <alignment horizontal="left" vertical="center"/>
    </xf>
    <xf numFmtId="0" fontId="10" fillId="0" borderId="75" xfId="0" applyFont="1" applyBorder="1" applyAlignment="1">
      <alignment horizontal="left" vertical="center"/>
    </xf>
    <xf numFmtId="4" fontId="10" fillId="0" borderId="77" xfId="0" applyNumberFormat="1" applyFont="1" applyBorder="1" applyAlignment="1">
      <alignment horizontal="right" vertical="center"/>
    </xf>
    <xf numFmtId="0" fontId="10" fillId="0" borderId="74" xfId="0" applyFont="1" applyBorder="1" applyAlignment="1">
      <alignment horizontal="right" vertical="center"/>
    </xf>
    <xf numFmtId="0" fontId="10" fillId="0" borderId="75" xfId="0" applyFont="1" applyBorder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7"/>
  <sheetViews>
    <sheetView tabSelected="1" zoomScaleNormal="100" workbookViewId="0">
      <selection activeCell="K11" sqref="K11"/>
    </sheetView>
  </sheetViews>
  <sheetFormatPr defaultColWidth="12.140625" defaultRowHeight="15" customHeight="1" x14ac:dyDescent="0.25"/>
  <cols>
    <col min="1" max="1" width="9.140625" customWidth="1"/>
    <col min="2" max="2" width="12.85546875" customWidth="1"/>
    <col min="3" max="3" width="27.140625" customWidth="1"/>
    <col min="4" max="4" width="10" customWidth="1"/>
    <col min="5" max="5" width="14" customWidth="1"/>
    <col min="6" max="6" width="27.140625" customWidth="1"/>
    <col min="7" max="7" width="9.140625" customWidth="1"/>
    <col min="8" max="8" width="12.85546875" customWidth="1"/>
    <col min="9" max="9" width="27.140625" customWidth="1"/>
  </cols>
  <sheetData>
    <row r="1" spans="1:9" ht="54.75" customHeight="1" x14ac:dyDescent="0.25">
      <c r="A1" s="73" t="s">
        <v>158</v>
      </c>
      <c r="B1" s="74"/>
      <c r="C1" s="74"/>
      <c r="D1" s="74"/>
      <c r="E1" s="74"/>
      <c r="F1" s="74"/>
      <c r="G1" s="74"/>
      <c r="H1" s="74"/>
      <c r="I1" s="74"/>
    </row>
    <row r="2" spans="1:9" x14ac:dyDescent="0.25">
      <c r="A2" s="75" t="s">
        <v>1</v>
      </c>
      <c r="B2" s="76"/>
      <c r="C2" s="85" t="str">
        <f>'Stavební rozpočet'!C2</f>
        <v>Odstranění kovového zásobníku v Selmicích</v>
      </c>
      <c r="D2" s="86"/>
      <c r="E2" s="80" t="s">
        <v>4</v>
      </c>
      <c r="F2" s="80" t="str">
        <f>'Stavební rozpočet'!I2</f>
        <v>Národní hřebčín Kladruby nad Labem</v>
      </c>
      <c r="G2" s="76"/>
      <c r="H2" s="80" t="s">
        <v>159</v>
      </c>
      <c r="I2" s="82" t="s">
        <v>48</v>
      </c>
    </row>
    <row r="3" spans="1:9" ht="15" customHeight="1" x14ac:dyDescent="0.25">
      <c r="A3" s="77"/>
      <c r="B3" s="78"/>
      <c r="C3" s="87"/>
      <c r="D3" s="87"/>
      <c r="E3" s="78"/>
      <c r="F3" s="78"/>
      <c r="G3" s="78"/>
      <c r="H3" s="78"/>
      <c r="I3" s="83"/>
    </row>
    <row r="4" spans="1:9" x14ac:dyDescent="0.25">
      <c r="A4" s="79" t="s">
        <v>6</v>
      </c>
      <c r="B4" s="78"/>
      <c r="C4" s="81" t="str">
        <f>'Stavební rozpočet'!C4</f>
        <v xml:space="preserve"> </v>
      </c>
      <c r="D4" s="78"/>
      <c r="E4" s="81" t="s">
        <v>9</v>
      </c>
      <c r="F4" s="81" t="str">
        <f>'Stavební rozpočet'!I4</f>
        <v> </v>
      </c>
      <c r="G4" s="78"/>
      <c r="H4" s="81" t="s">
        <v>159</v>
      </c>
      <c r="I4" s="83" t="s">
        <v>48</v>
      </c>
    </row>
    <row r="5" spans="1:9" ht="15" customHeight="1" x14ac:dyDescent="0.25">
      <c r="A5" s="77"/>
      <c r="B5" s="78"/>
      <c r="C5" s="78"/>
      <c r="D5" s="78"/>
      <c r="E5" s="78"/>
      <c r="F5" s="78"/>
      <c r="G5" s="78"/>
      <c r="H5" s="78"/>
      <c r="I5" s="83"/>
    </row>
    <row r="6" spans="1:9" x14ac:dyDescent="0.25">
      <c r="A6" s="79" t="s">
        <v>11</v>
      </c>
      <c r="B6" s="78"/>
      <c r="C6" s="81" t="str">
        <f>'Stavební rozpočet'!C6</f>
        <v>k.ú. Selmice, parc.č. 1162</v>
      </c>
      <c r="D6" s="78"/>
      <c r="E6" s="81" t="s">
        <v>14</v>
      </c>
      <c r="F6" s="81" t="str">
        <f>'Stavební rozpočet'!I6</f>
        <v>Projektový servis Chrudim s.r.o.</v>
      </c>
      <c r="G6" s="78"/>
      <c r="H6" s="81" t="s">
        <v>159</v>
      </c>
      <c r="I6" s="83" t="s">
        <v>48</v>
      </c>
    </row>
    <row r="7" spans="1:9" ht="15" customHeight="1" x14ac:dyDescent="0.25">
      <c r="A7" s="77"/>
      <c r="B7" s="78"/>
      <c r="C7" s="78"/>
      <c r="D7" s="78"/>
      <c r="E7" s="78"/>
      <c r="F7" s="78"/>
      <c r="G7" s="78"/>
      <c r="H7" s="78"/>
      <c r="I7" s="83"/>
    </row>
    <row r="8" spans="1:9" x14ac:dyDescent="0.25">
      <c r="A8" s="79" t="s">
        <v>7</v>
      </c>
      <c r="B8" s="78"/>
      <c r="C8" s="81"/>
      <c r="D8" s="78"/>
      <c r="E8" s="81" t="s">
        <v>13</v>
      </c>
      <c r="F8" s="81" t="str">
        <f>'Stavební rozpočet'!G6</f>
        <v xml:space="preserve"> </v>
      </c>
      <c r="G8" s="78"/>
      <c r="H8" s="78" t="s">
        <v>160</v>
      </c>
      <c r="I8" s="84">
        <v>24</v>
      </c>
    </row>
    <row r="9" spans="1:9" x14ac:dyDescent="0.25">
      <c r="A9" s="77"/>
      <c r="B9" s="78"/>
      <c r="C9" s="78"/>
      <c r="D9" s="78"/>
      <c r="E9" s="78"/>
      <c r="F9" s="78"/>
      <c r="G9" s="78"/>
      <c r="H9" s="78"/>
      <c r="I9" s="83"/>
    </row>
    <row r="10" spans="1:9" x14ac:dyDescent="0.25">
      <c r="A10" s="79" t="s">
        <v>16</v>
      </c>
      <c r="B10" s="78"/>
      <c r="C10" s="81" t="str">
        <f>'Stavební rozpočet'!C8</f>
        <v xml:space="preserve"> </v>
      </c>
      <c r="D10" s="78"/>
      <c r="E10" s="81" t="s">
        <v>18</v>
      </c>
      <c r="F10" s="81" t="str">
        <f>'Stavební rozpočet'!I8</f>
        <v> </v>
      </c>
      <c r="G10" s="78"/>
      <c r="H10" s="78" t="s">
        <v>161</v>
      </c>
      <c r="I10" s="89"/>
    </row>
    <row r="11" spans="1:9" x14ac:dyDescent="0.25">
      <c r="A11" s="94"/>
      <c r="B11" s="88"/>
      <c r="C11" s="88"/>
      <c r="D11" s="88"/>
      <c r="E11" s="88"/>
      <c r="F11" s="88"/>
      <c r="G11" s="88"/>
      <c r="H11" s="88"/>
      <c r="I11" s="90"/>
    </row>
    <row r="12" spans="1:9" ht="23.25" x14ac:dyDescent="0.25">
      <c r="A12" s="91" t="s">
        <v>162</v>
      </c>
      <c r="B12" s="91"/>
      <c r="C12" s="91"/>
      <c r="D12" s="91"/>
      <c r="E12" s="91"/>
      <c r="F12" s="91"/>
      <c r="G12" s="91"/>
      <c r="H12" s="91"/>
      <c r="I12" s="91"/>
    </row>
    <row r="13" spans="1:9" ht="26.25" customHeight="1" x14ac:dyDescent="0.25">
      <c r="A13" s="51" t="s">
        <v>163</v>
      </c>
      <c r="B13" s="92" t="s">
        <v>164</v>
      </c>
      <c r="C13" s="93"/>
      <c r="D13" s="52" t="s">
        <v>165</v>
      </c>
      <c r="E13" s="92" t="s">
        <v>166</v>
      </c>
      <c r="F13" s="93"/>
      <c r="G13" s="52" t="s">
        <v>167</v>
      </c>
      <c r="H13" s="92" t="s">
        <v>168</v>
      </c>
      <c r="I13" s="93"/>
    </row>
    <row r="14" spans="1:9" ht="15.75" x14ac:dyDescent="0.25">
      <c r="A14" s="53" t="s">
        <v>169</v>
      </c>
      <c r="B14" s="54" t="s">
        <v>170</v>
      </c>
      <c r="C14" s="55">
        <f>SUM('Stavební rozpočet'!AB12:AB45)</f>
        <v>0</v>
      </c>
      <c r="D14" s="101" t="s">
        <v>171</v>
      </c>
      <c r="E14" s="102"/>
      <c r="F14" s="55">
        <f>VORN!I15</f>
        <v>0</v>
      </c>
      <c r="G14" s="101" t="s">
        <v>172</v>
      </c>
      <c r="H14" s="102"/>
      <c r="I14" s="56">
        <f>VORN!I21</f>
        <v>0</v>
      </c>
    </row>
    <row r="15" spans="1:9" ht="15.75" x14ac:dyDescent="0.25">
      <c r="A15" s="57" t="s">
        <v>48</v>
      </c>
      <c r="B15" s="54" t="s">
        <v>33</v>
      </c>
      <c r="C15" s="55">
        <f>SUM('Stavební rozpočet'!AC12:AC45)</f>
        <v>0</v>
      </c>
      <c r="D15" s="101" t="s">
        <v>173</v>
      </c>
      <c r="E15" s="102"/>
      <c r="F15" s="55">
        <f>VORN!I16</f>
        <v>0</v>
      </c>
      <c r="G15" s="101" t="s">
        <v>174</v>
      </c>
      <c r="H15" s="102"/>
      <c r="I15" s="56">
        <f>VORN!I22</f>
        <v>0</v>
      </c>
    </row>
    <row r="16" spans="1:9" ht="15.75" x14ac:dyDescent="0.25">
      <c r="A16" s="53" t="s">
        <v>175</v>
      </c>
      <c r="B16" s="54" t="s">
        <v>170</v>
      </c>
      <c r="C16" s="55">
        <f>SUM('Stavební rozpočet'!AD12:AD45)</f>
        <v>0</v>
      </c>
      <c r="D16" s="101" t="s">
        <v>176</v>
      </c>
      <c r="E16" s="102"/>
      <c r="F16" s="55">
        <f>VORN!I17</f>
        <v>0</v>
      </c>
      <c r="G16" s="101" t="s">
        <v>177</v>
      </c>
      <c r="H16" s="102"/>
      <c r="I16" s="56">
        <f>VORN!I23</f>
        <v>0</v>
      </c>
    </row>
    <row r="17" spans="1:9" ht="15.75" x14ac:dyDescent="0.25">
      <c r="A17" s="57" t="s">
        <v>48</v>
      </c>
      <c r="B17" s="54" t="s">
        <v>33</v>
      </c>
      <c r="C17" s="55">
        <f>SUM('Stavební rozpočet'!AE12:AE45)</f>
        <v>0</v>
      </c>
      <c r="D17" s="101" t="s">
        <v>48</v>
      </c>
      <c r="E17" s="102"/>
      <c r="F17" s="56" t="s">
        <v>48</v>
      </c>
      <c r="G17" s="101" t="s">
        <v>178</v>
      </c>
      <c r="H17" s="102"/>
      <c r="I17" s="56">
        <f>VORN!I24</f>
        <v>0</v>
      </c>
    </row>
    <row r="18" spans="1:9" ht="15.75" x14ac:dyDescent="0.25">
      <c r="A18" s="53" t="s">
        <v>179</v>
      </c>
      <c r="B18" s="54" t="s">
        <v>170</v>
      </c>
      <c r="C18" s="55">
        <f>SUM('Stavební rozpočet'!AF12:AF45)</f>
        <v>0</v>
      </c>
      <c r="D18" s="101" t="s">
        <v>48</v>
      </c>
      <c r="E18" s="102"/>
      <c r="F18" s="56" t="s">
        <v>48</v>
      </c>
      <c r="G18" s="101" t="s">
        <v>180</v>
      </c>
      <c r="H18" s="102"/>
      <c r="I18" s="56">
        <f>VORN!I25</f>
        <v>0</v>
      </c>
    </row>
    <row r="19" spans="1:9" ht="15.75" x14ac:dyDescent="0.25">
      <c r="A19" s="57" t="s">
        <v>48</v>
      </c>
      <c r="B19" s="54" t="s">
        <v>33</v>
      </c>
      <c r="C19" s="55">
        <f>SUM('Stavební rozpočet'!AG12:AG45)</f>
        <v>0</v>
      </c>
      <c r="D19" s="101" t="s">
        <v>48</v>
      </c>
      <c r="E19" s="102"/>
      <c r="F19" s="56" t="s">
        <v>48</v>
      </c>
      <c r="G19" s="101" t="s">
        <v>181</v>
      </c>
      <c r="H19" s="102"/>
      <c r="I19" s="56">
        <f>VORN!I26</f>
        <v>0</v>
      </c>
    </row>
    <row r="20" spans="1:9" ht="15.75" x14ac:dyDescent="0.25">
      <c r="A20" s="95" t="s">
        <v>182</v>
      </c>
      <c r="B20" s="96"/>
      <c r="C20" s="55">
        <f>SUM('Stavební rozpočet'!AH12:AH45)</f>
        <v>0</v>
      </c>
      <c r="D20" s="101" t="s">
        <v>48</v>
      </c>
      <c r="E20" s="102"/>
      <c r="F20" s="56" t="s">
        <v>48</v>
      </c>
      <c r="G20" s="101" t="s">
        <v>48</v>
      </c>
      <c r="H20" s="102"/>
      <c r="I20" s="56" t="s">
        <v>48</v>
      </c>
    </row>
    <row r="21" spans="1:9" ht="15.75" x14ac:dyDescent="0.25">
      <c r="A21" s="97" t="s">
        <v>183</v>
      </c>
      <c r="B21" s="98"/>
      <c r="C21" s="58">
        <f>SUM('Stavební rozpočet'!Z12:Z45)</f>
        <v>0</v>
      </c>
      <c r="D21" s="103" t="s">
        <v>48</v>
      </c>
      <c r="E21" s="104"/>
      <c r="F21" s="59" t="s">
        <v>48</v>
      </c>
      <c r="G21" s="103" t="s">
        <v>48</v>
      </c>
      <c r="H21" s="104"/>
      <c r="I21" s="59" t="s">
        <v>48</v>
      </c>
    </row>
    <row r="22" spans="1:9" ht="16.5" customHeight="1" x14ac:dyDescent="0.25">
      <c r="A22" s="99" t="s">
        <v>184</v>
      </c>
      <c r="B22" s="100"/>
      <c r="C22" s="60">
        <f>ROUND(SUM(C14:C21),2)</f>
        <v>0</v>
      </c>
      <c r="D22" s="105" t="s">
        <v>185</v>
      </c>
      <c r="E22" s="100"/>
      <c r="F22" s="60">
        <f>SUM(F14:F21)</f>
        <v>0</v>
      </c>
      <c r="G22" s="105" t="s">
        <v>186</v>
      </c>
      <c r="H22" s="100"/>
      <c r="I22" s="60">
        <f>SUM(I14:I21)</f>
        <v>0</v>
      </c>
    </row>
    <row r="23" spans="1:9" ht="15.75" x14ac:dyDescent="0.25">
      <c r="D23" s="95" t="s">
        <v>187</v>
      </c>
      <c r="E23" s="96"/>
      <c r="F23" s="61">
        <v>0</v>
      </c>
      <c r="G23" s="106" t="s">
        <v>188</v>
      </c>
      <c r="H23" s="96"/>
      <c r="I23" s="55">
        <v>0</v>
      </c>
    </row>
    <row r="24" spans="1:9" ht="15.75" x14ac:dyDescent="0.25">
      <c r="G24" s="95" t="s">
        <v>189</v>
      </c>
      <c r="H24" s="96"/>
      <c r="I24" s="58">
        <f>vorn_sum</f>
        <v>0</v>
      </c>
    </row>
    <row r="25" spans="1:9" ht="15.75" x14ac:dyDescent="0.25">
      <c r="G25" s="95" t="s">
        <v>190</v>
      </c>
      <c r="H25" s="96"/>
      <c r="I25" s="60">
        <v>0</v>
      </c>
    </row>
    <row r="27" spans="1:9" ht="15.75" x14ac:dyDescent="0.25">
      <c r="A27" s="107" t="s">
        <v>191</v>
      </c>
      <c r="B27" s="108"/>
      <c r="C27" s="62">
        <f>ROUND(SUM('Stavební rozpočet'!AJ12:AJ45),2)</f>
        <v>0</v>
      </c>
    </row>
    <row r="28" spans="1:9" ht="15.75" x14ac:dyDescent="0.25">
      <c r="A28" s="109" t="s">
        <v>192</v>
      </c>
      <c r="B28" s="110"/>
      <c r="C28" s="63">
        <f>ROUND(SUM('Stavební rozpočet'!AK12:AK45),2)</f>
        <v>0</v>
      </c>
      <c r="D28" s="111" t="s">
        <v>193</v>
      </c>
      <c r="E28" s="108"/>
      <c r="F28" s="62">
        <f>ROUND(C28*(12/100),2)</f>
        <v>0</v>
      </c>
      <c r="G28" s="111" t="s">
        <v>194</v>
      </c>
      <c r="H28" s="108"/>
      <c r="I28" s="62">
        <f>ROUND(SUM(C27:C29),2)</f>
        <v>0</v>
      </c>
    </row>
    <row r="29" spans="1:9" ht="15.75" x14ac:dyDescent="0.25">
      <c r="A29" s="109" t="s">
        <v>195</v>
      </c>
      <c r="B29" s="110"/>
      <c r="C29" s="63">
        <f>ROUND(SUM('Stavební rozpočet'!AL12:AL45)+(F22+I22+F23+I23+I24+I25),2)</f>
        <v>0</v>
      </c>
      <c r="D29" s="112" t="s">
        <v>196</v>
      </c>
      <c r="E29" s="110"/>
      <c r="F29" s="63">
        <f>ROUND(C29*(21/100),2)</f>
        <v>0</v>
      </c>
      <c r="G29" s="112" t="s">
        <v>197</v>
      </c>
      <c r="H29" s="110"/>
      <c r="I29" s="63">
        <f>ROUND(SUM(F28:F29)+I28,2)</f>
        <v>0</v>
      </c>
    </row>
    <row r="31" spans="1:9" x14ac:dyDescent="0.25">
      <c r="A31" s="122" t="s">
        <v>198</v>
      </c>
      <c r="B31" s="114"/>
      <c r="C31" s="115"/>
      <c r="D31" s="113" t="s">
        <v>199</v>
      </c>
      <c r="E31" s="114"/>
      <c r="F31" s="115"/>
      <c r="G31" s="113" t="s">
        <v>200</v>
      </c>
      <c r="H31" s="114"/>
      <c r="I31" s="115"/>
    </row>
    <row r="32" spans="1:9" x14ac:dyDescent="0.25">
      <c r="A32" s="123" t="s">
        <v>48</v>
      </c>
      <c r="B32" s="117"/>
      <c r="C32" s="118"/>
      <c r="D32" s="116" t="s">
        <v>48</v>
      </c>
      <c r="E32" s="117"/>
      <c r="F32" s="118"/>
      <c r="G32" s="116" t="s">
        <v>48</v>
      </c>
      <c r="H32" s="117"/>
      <c r="I32" s="118"/>
    </row>
    <row r="33" spans="1:9" x14ac:dyDescent="0.25">
      <c r="A33" s="123" t="s">
        <v>48</v>
      </c>
      <c r="B33" s="117"/>
      <c r="C33" s="118"/>
      <c r="D33" s="116" t="s">
        <v>48</v>
      </c>
      <c r="E33" s="117"/>
      <c r="F33" s="118"/>
      <c r="G33" s="116" t="s">
        <v>48</v>
      </c>
      <c r="H33" s="117"/>
      <c r="I33" s="118"/>
    </row>
    <row r="34" spans="1:9" x14ac:dyDescent="0.25">
      <c r="A34" s="123" t="s">
        <v>48</v>
      </c>
      <c r="B34" s="117"/>
      <c r="C34" s="118"/>
      <c r="D34" s="116" t="s">
        <v>48</v>
      </c>
      <c r="E34" s="117"/>
      <c r="F34" s="118"/>
      <c r="G34" s="116" t="s">
        <v>48</v>
      </c>
      <c r="H34" s="117"/>
      <c r="I34" s="118"/>
    </row>
    <row r="35" spans="1:9" x14ac:dyDescent="0.25">
      <c r="A35" s="124" t="s">
        <v>201</v>
      </c>
      <c r="B35" s="120"/>
      <c r="C35" s="121"/>
      <c r="D35" s="119" t="s">
        <v>201</v>
      </c>
      <c r="E35" s="120"/>
      <c r="F35" s="121"/>
      <c r="G35" s="119" t="s">
        <v>201</v>
      </c>
      <c r="H35" s="120"/>
      <c r="I35" s="121"/>
    </row>
    <row r="36" spans="1:9" x14ac:dyDescent="0.25">
      <c r="A36" s="64" t="s">
        <v>69</v>
      </c>
    </row>
    <row r="37" spans="1:9" ht="12.75" customHeight="1" x14ac:dyDescent="0.25">
      <c r="A37" s="81" t="s">
        <v>48</v>
      </c>
      <c r="B37" s="78"/>
      <c r="C37" s="78"/>
      <c r="D37" s="78"/>
      <c r="E37" s="78"/>
      <c r="F37" s="78"/>
      <c r="G37" s="78"/>
      <c r="H37" s="78"/>
      <c r="I37" s="78"/>
    </row>
  </sheetData>
  <mergeCells count="83">
    <mergeCell ref="A37:I37"/>
    <mergeCell ref="G31:I31"/>
    <mergeCell ref="G32:I32"/>
    <mergeCell ref="G33:I33"/>
    <mergeCell ref="G34:I34"/>
    <mergeCell ref="G35:I35"/>
    <mergeCell ref="D31:F31"/>
    <mergeCell ref="D32:F32"/>
    <mergeCell ref="D33:F33"/>
    <mergeCell ref="D34:F34"/>
    <mergeCell ref="D35:F35"/>
    <mergeCell ref="A31:C31"/>
    <mergeCell ref="A32:C32"/>
    <mergeCell ref="A33:C33"/>
    <mergeCell ref="A34:C34"/>
    <mergeCell ref="A35:C35"/>
    <mergeCell ref="G24:H24"/>
    <mergeCell ref="G25:H25"/>
    <mergeCell ref="A27:B27"/>
    <mergeCell ref="A28:B28"/>
    <mergeCell ref="A29:B29"/>
    <mergeCell ref="D28:E28"/>
    <mergeCell ref="D29:E29"/>
    <mergeCell ref="G28:H28"/>
    <mergeCell ref="G29:H29"/>
    <mergeCell ref="D23:E2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A20:B20"/>
    <mergeCell ref="A21:B21"/>
    <mergeCell ref="A22:B22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I10:I11"/>
    <mergeCell ref="A12:I12"/>
    <mergeCell ref="B13:C13"/>
    <mergeCell ref="E13:F13"/>
    <mergeCell ref="H13:I13"/>
    <mergeCell ref="F10:G11"/>
    <mergeCell ref="A10:B11"/>
    <mergeCell ref="H2:H3"/>
    <mergeCell ref="H4:H5"/>
    <mergeCell ref="H6:H7"/>
    <mergeCell ref="H8:H9"/>
    <mergeCell ref="H10:H11"/>
    <mergeCell ref="C8:D9"/>
    <mergeCell ref="C10:D11"/>
    <mergeCell ref="E2:E3"/>
    <mergeCell ref="E4:E5"/>
    <mergeCell ref="E6:E7"/>
    <mergeCell ref="E8:E9"/>
    <mergeCell ref="E10:E11"/>
    <mergeCell ref="A1:I1"/>
    <mergeCell ref="A2:B3"/>
    <mergeCell ref="A4:B5"/>
    <mergeCell ref="A6:B7"/>
    <mergeCell ref="A8:B9"/>
    <mergeCell ref="F2:G3"/>
    <mergeCell ref="F4:G5"/>
    <mergeCell ref="F6:G7"/>
    <mergeCell ref="F8:G9"/>
    <mergeCell ref="I2:I3"/>
    <mergeCell ref="I4:I5"/>
    <mergeCell ref="I6:I7"/>
    <mergeCell ref="I8:I9"/>
    <mergeCell ref="C2:D3"/>
    <mergeCell ref="C4:D5"/>
    <mergeCell ref="C6:D7"/>
  </mergeCells>
  <pageMargins left="0.393999993801117" right="0.393999993801117" top="0.59100002050399802" bottom="0.59100002050399802" header="0" footer="0"/>
  <pageSetup scale="87" orientation="landscape" r:id="rId1"/>
  <headerFooter>
    <oddHeader xml:space="preserve">&amp;CPříloha č. 5 výzvy  - Odstranění kovového zásobníku v Selmicích                                    VZ 35/2025 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Z48"/>
  <sheetViews>
    <sheetView workbookViewId="0">
      <pane ySplit="11" topLeftCell="A12" activePane="bottomLeft" state="frozen"/>
      <selection activeCell="K11" sqref="K11"/>
      <selection pane="bottomLeft" activeCell="D51" sqref="D51"/>
    </sheetView>
  </sheetViews>
  <sheetFormatPr defaultColWidth="12.140625" defaultRowHeight="15" customHeight="1" x14ac:dyDescent="0.25"/>
  <cols>
    <col min="1" max="1" width="4" customWidth="1"/>
    <col min="2" max="2" width="17.85546875" customWidth="1"/>
    <col min="3" max="3" width="42.85546875" customWidth="1"/>
    <col min="4" max="4" width="35.7109375" customWidth="1"/>
    <col min="5" max="5" width="6.42578125" customWidth="1"/>
    <col min="6" max="6" width="12.85546875" customWidth="1"/>
    <col min="7" max="7" width="12" customWidth="1"/>
    <col min="8" max="10" width="15.7109375" customWidth="1"/>
    <col min="11" max="11" width="13.42578125" customWidth="1"/>
    <col min="25" max="75" width="12.140625" hidden="1"/>
    <col min="76" max="76" width="78.5703125" hidden="1" customWidth="1"/>
    <col min="77" max="78" width="12.140625" hidden="1"/>
  </cols>
  <sheetData>
    <row r="1" spans="1:76" ht="55.5" customHeight="1" x14ac:dyDescent="0.25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AS1" s="1">
        <f>SUM(AJ1:AJ2)</f>
        <v>0</v>
      </c>
      <c r="AT1" s="1">
        <f>SUM(AK1:AK2)</f>
        <v>0</v>
      </c>
      <c r="AU1" s="1">
        <f>SUM(AL1:AL2)</f>
        <v>0</v>
      </c>
    </row>
    <row r="2" spans="1:76" x14ac:dyDescent="0.25">
      <c r="A2" s="75" t="s">
        <v>1</v>
      </c>
      <c r="B2" s="76"/>
      <c r="C2" s="85" t="s">
        <v>214</v>
      </c>
      <c r="D2" s="86"/>
      <c r="E2" s="76" t="s">
        <v>2</v>
      </c>
      <c r="F2" s="76"/>
      <c r="G2" s="76" t="s">
        <v>3</v>
      </c>
      <c r="H2" s="80" t="s">
        <v>4</v>
      </c>
      <c r="I2" s="80" t="s">
        <v>5</v>
      </c>
      <c r="J2" s="76"/>
      <c r="K2" s="82"/>
    </row>
    <row r="3" spans="1:76" x14ac:dyDescent="0.25">
      <c r="A3" s="77"/>
      <c r="B3" s="78"/>
      <c r="C3" s="87"/>
      <c r="D3" s="87"/>
      <c r="E3" s="78"/>
      <c r="F3" s="78"/>
      <c r="G3" s="78"/>
      <c r="H3" s="78"/>
      <c r="I3" s="78"/>
      <c r="J3" s="78"/>
      <c r="K3" s="83"/>
    </row>
    <row r="4" spans="1:76" x14ac:dyDescent="0.25">
      <c r="A4" s="79" t="s">
        <v>6</v>
      </c>
      <c r="B4" s="78"/>
      <c r="C4" s="81" t="s">
        <v>3</v>
      </c>
      <c r="D4" s="78"/>
      <c r="E4" s="78" t="s">
        <v>7</v>
      </c>
      <c r="F4" s="78"/>
      <c r="G4" s="78"/>
      <c r="H4" s="81" t="s">
        <v>9</v>
      </c>
      <c r="I4" s="78" t="s">
        <v>10</v>
      </c>
      <c r="J4" s="78"/>
      <c r="K4" s="83"/>
    </row>
    <row r="5" spans="1:76" x14ac:dyDescent="0.25">
      <c r="A5" s="77"/>
      <c r="B5" s="78"/>
      <c r="C5" s="78"/>
      <c r="D5" s="78"/>
      <c r="E5" s="78"/>
      <c r="F5" s="78"/>
      <c r="G5" s="78"/>
      <c r="H5" s="78"/>
      <c r="I5" s="78"/>
      <c r="J5" s="78"/>
      <c r="K5" s="83"/>
    </row>
    <row r="6" spans="1:76" x14ac:dyDescent="0.25">
      <c r="A6" s="79" t="s">
        <v>11</v>
      </c>
      <c r="B6" s="78"/>
      <c r="C6" s="81" t="s">
        <v>12</v>
      </c>
      <c r="D6" s="78"/>
      <c r="E6" s="78" t="s">
        <v>13</v>
      </c>
      <c r="F6" s="78"/>
      <c r="G6" s="78" t="s">
        <v>3</v>
      </c>
      <c r="H6" s="81" t="s">
        <v>14</v>
      </c>
      <c r="I6" s="81" t="s">
        <v>15</v>
      </c>
      <c r="J6" s="78"/>
      <c r="K6" s="83"/>
    </row>
    <row r="7" spans="1:76" x14ac:dyDescent="0.25">
      <c r="A7" s="77"/>
      <c r="B7" s="78"/>
      <c r="C7" s="78"/>
      <c r="D7" s="78"/>
      <c r="E7" s="78"/>
      <c r="F7" s="78"/>
      <c r="G7" s="78"/>
      <c r="H7" s="78"/>
      <c r="I7" s="78"/>
      <c r="J7" s="78"/>
      <c r="K7" s="83"/>
    </row>
    <row r="8" spans="1:76" x14ac:dyDescent="0.25">
      <c r="A8" s="79" t="s">
        <v>16</v>
      </c>
      <c r="B8" s="78"/>
      <c r="C8" s="81" t="s">
        <v>3</v>
      </c>
      <c r="D8" s="78"/>
      <c r="E8" s="78" t="s">
        <v>17</v>
      </c>
      <c r="F8" s="78"/>
      <c r="G8" s="78"/>
      <c r="H8" s="81" t="s">
        <v>18</v>
      </c>
      <c r="I8" s="78" t="s">
        <v>10</v>
      </c>
      <c r="J8" s="78"/>
      <c r="K8" s="83"/>
    </row>
    <row r="9" spans="1:76" x14ac:dyDescent="0.25">
      <c r="A9" s="125"/>
      <c r="B9" s="126"/>
      <c r="C9" s="126"/>
      <c r="D9" s="126"/>
      <c r="E9" s="126"/>
      <c r="F9" s="126"/>
      <c r="G9" s="126"/>
      <c r="H9" s="126"/>
      <c r="I9" s="126"/>
      <c r="J9" s="126"/>
      <c r="K9" s="127"/>
    </row>
    <row r="10" spans="1:76" x14ac:dyDescent="0.25">
      <c r="A10" s="6" t="s">
        <v>19</v>
      </c>
      <c r="B10" s="7" t="s">
        <v>20</v>
      </c>
      <c r="C10" s="128" t="s">
        <v>21</v>
      </c>
      <c r="D10" s="129"/>
      <c r="E10" s="7" t="s">
        <v>22</v>
      </c>
      <c r="F10" s="8" t="s">
        <v>23</v>
      </c>
      <c r="G10" s="9" t="s">
        <v>24</v>
      </c>
      <c r="H10" s="132" t="s">
        <v>25</v>
      </c>
      <c r="I10" s="133"/>
      <c r="J10" s="134"/>
      <c r="K10" s="10" t="s">
        <v>26</v>
      </c>
      <c r="BK10" s="11" t="s">
        <v>27</v>
      </c>
      <c r="BL10" s="12" t="s">
        <v>28</v>
      </c>
      <c r="BW10" s="12" t="s">
        <v>29</v>
      </c>
    </row>
    <row r="11" spans="1:76" ht="14.25" customHeight="1" x14ac:dyDescent="0.25">
      <c r="A11" s="13" t="s">
        <v>3</v>
      </c>
      <c r="B11" s="14" t="s">
        <v>3</v>
      </c>
      <c r="C11" s="130" t="s">
        <v>30</v>
      </c>
      <c r="D11" s="131"/>
      <c r="E11" s="14" t="s">
        <v>3</v>
      </c>
      <c r="F11" s="14" t="s">
        <v>3</v>
      </c>
      <c r="G11" s="15" t="s">
        <v>31</v>
      </c>
      <c r="H11" s="16" t="s">
        <v>32</v>
      </c>
      <c r="I11" s="17" t="s">
        <v>33</v>
      </c>
      <c r="J11" s="18" t="s">
        <v>34</v>
      </c>
      <c r="K11" s="19" t="s">
        <v>35</v>
      </c>
      <c r="Z11" s="11" t="s">
        <v>36</v>
      </c>
      <c r="AA11" s="11" t="s">
        <v>37</v>
      </c>
      <c r="AB11" s="11" t="s">
        <v>38</v>
      </c>
      <c r="AC11" s="11" t="s">
        <v>39</v>
      </c>
      <c r="AD11" s="11" t="s">
        <v>40</v>
      </c>
      <c r="AE11" s="11" t="s">
        <v>41</v>
      </c>
      <c r="AF11" s="11" t="s">
        <v>42</v>
      </c>
      <c r="AG11" s="11" t="s">
        <v>43</v>
      </c>
      <c r="AH11" s="11" t="s">
        <v>44</v>
      </c>
      <c r="BH11" s="11" t="s">
        <v>45</v>
      </c>
      <c r="BI11" s="11" t="s">
        <v>46</v>
      </c>
      <c r="BJ11" s="11" t="s">
        <v>47</v>
      </c>
    </row>
    <row r="12" spans="1:76" x14ac:dyDescent="0.25">
      <c r="A12" s="20" t="s">
        <v>48</v>
      </c>
      <c r="B12" s="21" t="s">
        <v>49</v>
      </c>
      <c r="C12" s="135" t="s">
        <v>50</v>
      </c>
      <c r="D12" s="136"/>
      <c r="E12" s="22" t="s">
        <v>3</v>
      </c>
      <c r="F12" s="22" t="s">
        <v>3</v>
      </c>
      <c r="G12" s="22" t="s">
        <v>3</v>
      </c>
      <c r="H12" s="23">
        <f>SUM(H13:H14)</f>
        <v>0</v>
      </c>
      <c r="I12" s="23">
        <f>SUM(I13:I14)</f>
        <v>0</v>
      </c>
      <c r="J12" s="23">
        <f>SUM(J13:J14)</f>
        <v>0</v>
      </c>
      <c r="K12" s="24" t="s">
        <v>48</v>
      </c>
      <c r="AI12" s="11" t="s">
        <v>48</v>
      </c>
      <c r="AS12" s="1">
        <f>SUM(AJ13:AJ14)</f>
        <v>0</v>
      </c>
      <c r="AT12" s="1">
        <f>SUM(AK13:AK14)</f>
        <v>0</v>
      </c>
      <c r="AU12" s="1">
        <f>SUM(AL13:AL14)</f>
        <v>0</v>
      </c>
    </row>
    <row r="13" spans="1:76" x14ac:dyDescent="0.25">
      <c r="A13" s="25" t="s">
        <v>51</v>
      </c>
      <c r="B13" s="26" t="s">
        <v>52</v>
      </c>
      <c r="C13" s="137" t="s">
        <v>53</v>
      </c>
      <c r="D13" s="138"/>
      <c r="E13" s="26" t="s">
        <v>54</v>
      </c>
      <c r="F13" s="28">
        <v>85.5</v>
      </c>
      <c r="G13" s="28">
        <v>0</v>
      </c>
      <c r="H13" s="28">
        <f>ROUND(F13*AO13,2)</f>
        <v>0</v>
      </c>
      <c r="I13" s="28">
        <f>ROUND(F13*AP13,2)</f>
        <v>0</v>
      </c>
      <c r="J13" s="28">
        <f>ROUND(F13*G13,2)</f>
        <v>0</v>
      </c>
      <c r="K13" s="29" t="s">
        <v>55</v>
      </c>
      <c r="Z13" s="30">
        <f>ROUND(IF(AQ13="5",BJ13,0),2)</f>
        <v>0</v>
      </c>
      <c r="AB13" s="30">
        <f>ROUND(IF(AQ13="1",BH13,0),2)</f>
        <v>0</v>
      </c>
      <c r="AC13" s="30">
        <f>ROUND(IF(AQ13="1",BI13,0),2)</f>
        <v>0</v>
      </c>
      <c r="AD13" s="30">
        <f>ROUND(IF(AQ13="7",BH13,0),2)</f>
        <v>0</v>
      </c>
      <c r="AE13" s="30">
        <f>ROUND(IF(AQ13="7",BI13,0),2)</f>
        <v>0</v>
      </c>
      <c r="AF13" s="30">
        <f>ROUND(IF(AQ13="2",BH13,0),2)</f>
        <v>0</v>
      </c>
      <c r="AG13" s="30">
        <f>ROUND(IF(AQ13="2",BI13,0),2)</f>
        <v>0</v>
      </c>
      <c r="AH13" s="30">
        <f>ROUND(IF(AQ13="0",BJ13,0),2)</f>
        <v>0</v>
      </c>
      <c r="AI13" s="11" t="s">
        <v>48</v>
      </c>
      <c r="AJ13" s="28">
        <f>IF(AN13=0,J13,0)</f>
        <v>0</v>
      </c>
      <c r="AK13" s="28">
        <f>IF(AN13=12,J13,0)</f>
        <v>0</v>
      </c>
      <c r="AL13" s="28">
        <f>IF(AN13=21,J13,0)</f>
        <v>0</v>
      </c>
      <c r="AN13" s="30">
        <v>21</v>
      </c>
      <c r="AO13" s="30">
        <f>G13*0</f>
        <v>0</v>
      </c>
      <c r="AP13" s="30">
        <f>G13*(1-0)</f>
        <v>0</v>
      </c>
      <c r="AQ13" s="31" t="s">
        <v>51</v>
      </c>
      <c r="AV13" s="30">
        <f>ROUND(AW13+AX13,2)</f>
        <v>0</v>
      </c>
      <c r="AW13" s="30">
        <f>ROUND(F13*AO13,2)</f>
        <v>0</v>
      </c>
      <c r="AX13" s="30">
        <f>ROUND(F13*AP13,2)</f>
        <v>0</v>
      </c>
      <c r="AY13" s="32" t="s">
        <v>56</v>
      </c>
      <c r="AZ13" s="32" t="s">
        <v>57</v>
      </c>
      <c r="BA13" s="11" t="s">
        <v>58</v>
      </c>
      <c r="BC13" s="30">
        <f>AW13+AX13</f>
        <v>0</v>
      </c>
      <c r="BD13" s="30">
        <f>G13/(100-BE13)*100</f>
        <v>0</v>
      </c>
      <c r="BE13" s="30">
        <v>0</v>
      </c>
      <c r="BF13" s="30">
        <f>13</f>
        <v>13</v>
      </c>
      <c r="BH13" s="28">
        <f>F13*AO13</f>
        <v>0</v>
      </c>
      <c r="BI13" s="28">
        <f>F13*AP13</f>
        <v>0</v>
      </c>
      <c r="BJ13" s="28">
        <f>F13*G13</f>
        <v>0</v>
      </c>
      <c r="BK13" s="28"/>
      <c r="BL13" s="30">
        <v>11</v>
      </c>
      <c r="BW13" s="30">
        <v>21</v>
      </c>
      <c r="BX13" s="27" t="s">
        <v>53</v>
      </c>
    </row>
    <row r="14" spans="1:76" x14ac:dyDescent="0.25">
      <c r="A14" s="25" t="s">
        <v>59</v>
      </c>
      <c r="B14" s="26" t="s">
        <v>60</v>
      </c>
      <c r="C14" s="137" t="s">
        <v>61</v>
      </c>
      <c r="D14" s="138"/>
      <c r="E14" s="26" t="s">
        <v>62</v>
      </c>
      <c r="F14" s="28">
        <v>50.15</v>
      </c>
      <c r="G14" s="28">
        <v>0</v>
      </c>
      <c r="H14" s="28">
        <f>ROUND(F14*AO14,2)</f>
        <v>0</v>
      </c>
      <c r="I14" s="28">
        <f>ROUND(F14*AP14,2)</f>
        <v>0</v>
      </c>
      <c r="J14" s="28">
        <f>ROUND(F14*G14,2)</f>
        <v>0</v>
      </c>
      <c r="K14" s="29" t="s">
        <v>55</v>
      </c>
      <c r="Z14" s="30">
        <f>ROUND(IF(AQ14="5",BJ14,0),2)</f>
        <v>0</v>
      </c>
      <c r="AB14" s="30">
        <f>ROUND(IF(AQ14="1",BH14,0),2)</f>
        <v>0</v>
      </c>
      <c r="AC14" s="30">
        <f>ROUND(IF(AQ14="1",BI14,0),2)</f>
        <v>0</v>
      </c>
      <c r="AD14" s="30">
        <f>ROUND(IF(AQ14="7",BH14,0),2)</f>
        <v>0</v>
      </c>
      <c r="AE14" s="30">
        <f>ROUND(IF(AQ14="7",BI14,0),2)</f>
        <v>0</v>
      </c>
      <c r="AF14" s="30">
        <f>ROUND(IF(AQ14="2",BH14,0),2)</f>
        <v>0</v>
      </c>
      <c r="AG14" s="30">
        <f>ROUND(IF(AQ14="2",BI14,0),2)</f>
        <v>0</v>
      </c>
      <c r="AH14" s="30">
        <f>ROUND(IF(AQ14="0",BJ14,0),2)</f>
        <v>0</v>
      </c>
      <c r="AI14" s="11" t="s">
        <v>48</v>
      </c>
      <c r="AJ14" s="28">
        <f>IF(AN14=0,J14,0)</f>
        <v>0</v>
      </c>
      <c r="AK14" s="28">
        <f>IF(AN14=12,J14,0)</f>
        <v>0</v>
      </c>
      <c r="AL14" s="28">
        <f>IF(AN14=21,J14,0)</f>
        <v>0</v>
      </c>
      <c r="AN14" s="30">
        <v>21</v>
      </c>
      <c r="AO14" s="30">
        <f>G14*0</f>
        <v>0</v>
      </c>
      <c r="AP14" s="30">
        <f>G14*(1-0)</f>
        <v>0</v>
      </c>
      <c r="AQ14" s="31" t="s">
        <v>51</v>
      </c>
      <c r="AV14" s="30">
        <f>ROUND(AW14+AX14,2)</f>
        <v>0</v>
      </c>
      <c r="AW14" s="30">
        <f>ROUND(F14*AO14,2)</f>
        <v>0</v>
      </c>
      <c r="AX14" s="30">
        <f>ROUND(F14*AP14,2)</f>
        <v>0</v>
      </c>
      <c r="AY14" s="32" t="s">
        <v>56</v>
      </c>
      <c r="AZ14" s="32" t="s">
        <v>57</v>
      </c>
      <c r="BA14" s="11" t="s">
        <v>58</v>
      </c>
      <c r="BC14" s="30">
        <f>AW14+AX14</f>
        <v>0</v>
      </c>
      <c r="BD14" s="30">
        <f>G14/(100-BE14)*100</f>
        <v>0</v>
      </c>
      <c r="BE14" s="30">
        <v>0</v>
      </c>
      <c r="BF14" s="30">
        <f>14</f>
        <v>14</v>
      </c>
      <c r="BH14" s="28">
        <f>F14*AO14</f>
        <v>0</v>
      </c>
      <c r="BI14" s="28">
        <f>F14*AP14</f>
        <v>0</v>
      </c>
      <c r="BJ14" s="28">
        <f>F14*G14</f>
        <v>0</v>
      </c>
      <c r="BK14" s="28"/>
      <c r="BL14" s="30">
        <v>11</v>
      </c>
      <c r="BW14" s="30">
        <v>21</v>
      </c>
      <c r="BX14" s="27" t="s">
        <v>61</v>
      </c>
    </row>
    <row r="15" spans="1:76" x14ac:dyDescent="0.25">
      <c r="A15" s="33" t="s">
        <v>48</v>
      </c>
      <c r="B15" s="34" t="s">
        <v>63</v>
      </c>
      <c r="C15" s="139" t="s">
        <v>64</v>
      </c>
      <c r="D15" s="140"/>
      <c r="E15" s="35" t="s">
        <v>3</v>
      </c>
      <c r="F15" s="35" t="s">
        <v>3</v>
      </c>
      <c r="G15" s="35" t="s">
        <v>3</v>
      </c>
      <c r="H15" s="1">
        <f>SUM(H16:H19)</f>
        <v>0</v>
      </c>
      <c r="I15" s="1">
        <f>SUM(I16:I19)</f>
        <v>0</v>
      </c>
      <c r="J15" s="1">
        <f>SUM(J16:J19)</f>
        <v>0</v>
      </c>
      <c r="K15" s="36" t="s">
        <v>48</v>
      </c>
      <c r="AI15" s="11" t="s">
        <v>48</v>
      </c>
      <c r="AS15" s="1">
        <f>SUM(AJ16:AJ19)</f>
        <v>0</v>
      </c>
      <c r="AT15" s="1">
        <f>SUM(AK16:AK19)</f>
        <v>0</v>
      </c>
      <c r="AU15" s="1">
        <f>SUM(AL16:AL19)</f>
        <v>0</v>
      </c>
    </row>
    <row r="16" spans="1:76" x14ac:dyDescent="0.25">
      <c r="A16" s="25" t="s">
        <v>65</v>
      </c>
      <c r="B16" s="26" t="s">
        <v>66</v>
      </c>
      <c r="C16" s="137" t="s">
        <v>67</v>
      </c>
      <c r="D16" s="138"/>
      <c r="E16" s="26" t="s">
        <v>62</v>
      </c>
      <c r="F16" s="28">
        <v>163.53</v>
      </c>
      <c r="G16" s="28">
        <v>0</v>
      </c>
      <c r="H16" s="28">
        <f>ROUND(F16*AO16,2)</f>
        <v>0</v>
      </c>
      <c r="I16" s="28">
        <f>ROUND(F16*AP16,2)</f>
        <v>0</v>
      </c>
      <c r="J16" s="28">
        <f>ROUND(F16*G16,2)</f>
        <v>0</v>
      </c>
      <c r="K16" s="29" t="s">
        <v>55</v>
      </c>
      <c r="Z16" s="30">
        <f>ROUND(IF(AQ16="5",BJ16,0),2)</f>
        <v>0</v>
      </c>
      <c r="AB16" s="30">
        <f>ROUND(IF(AQ16="1",BH16,0),2)</f>
        <v>0</v>
      </c>
      <c r="AC16" s="30">
        <f>ROUND(IF(AQ16="1",BI16,0),2)</f>
        <v>0</v>
      </c>
      <c r="AD16" s="30">
        <f>ROUND(IF(AQ16="7",BH16,0),2)</f>
        <v>0</v>
      </c>
      <c r="AE16" s="30">
        <f>ROUND(IF(AQ16="7",BI16,0),2)</f>
        <v>0</v>
      </c>
      <c r="AF16" s="30">
        <f>ROUND(IF(AQ16="2",BH16,0),2)</f>
        <v>0</v>
      </c>
      <c r="AG16" s="30">
        <f>ROUND(IF(AQ16="2",BI16,0),2)</f>
        <v>0</v>
      </c>
      <c r="AH16" s="30">
        <f>ROUND(IF(AQ16="0",BJ16,0),2)</f>
        <v>0</v>
      </c>
      <c r="AI16" s="11" t="s">
        <v>48</v>
      </c>
      <c r="AJ16" s="28">
        <f>IF(AN16=0,J16,0)</f>
        <v>0</v>
      </c>
      <c r="AK16" s="28">
        <f>IF(AN16=12,J16,0)</f>
        <v>0</v>
      </c>
      <c r="AL16" s="28">
        <f>IF(AN16=21,J16,0)</f>
        <v>0</v>
      </c>
      <c r="AN16" s="30">
        <v>21</v>
      </c>
      <c r="AO16" s="30">
        <f>G16*0</f>
        <v>0</v>
      </c>
      <c r="AP16" s="30">
        <f>G16*(1-0)</f>
        <v>0</v>
      </c>
      <c r="AQ16" s="31" t="s">
        <v>51</v>
      </c>
      <c r="AV16" s="30">
        <f>ROUND(AW16+AX16,2)</f>
        <v>0</v>
      </c>
      <c r="AW16" s="30">
        <f>ROUND(F16*AO16,2)</f>
        <v>0</v>
      </c>
      <c r="AX16" s="30">
        <f>ROUND(F16*AP16,2)</f>
        <v>0</v>
      </c>
      <c r="AY16" s="32" t="s">
        <v>68</v>
      </c>
      <c r="AZ16" s="32" t="s">
        <v>57</v>
      </c>
      <c r="BA16" s="11" t="s">
        <v>58</v>
      </c>
      <c r="BC16" s="30">
        <f>AW16+AX16</f>
        <v>0</v>
      </c>
      <c r="BD16" s="30">
        <f>G16/(100-BE16)*100</f>
        <v>0</v>
      </c>
      <c r="BE16" s="30">
        <v>0</v>
      </c>
      <c r="BF16" s="30">
        <f>16</f>
        <v>16</v>
      </c>
      <c r="BH16" s="28">
        <f>F16*AO16</f>
        <v>0</v>
      </c>
      <c r="BI16" s="28">
        <f>F16*AP16</f>
        <v>0</v>
      </c>
      <c r="BJ16" s="28">
        <f>F16*G16</f>
        <v>0</v>
      </c>
      <c r="BK16" s="28"/>
      <c r="BL16" s="30">
        <v>16</v>
      </c>
      <c r="BW16" s="30">
        <v>21</v>
      </c>
      <c r="BX16" s="27" t="s">
        <v>67</v>
      </c>
    </row>
    <row r="17" spans="1:76" ht="13.5" customHeight="1" x14ac:dyDescent="0.25">
      <c r="A17" s="37"/>
      <c r="B17" s="38" t="s">
        <v>69</v>
      </c>
      <c r="C17" s="141" t="s">
        <v>70</v>
      </c>
      <c r="D17" s="142"/>
      <c r="E17" s="142"/>
      <c r="F17" s="142"/>
      <c r="G17" s="142"/>
      <c r="H17" s="142"/>
      <c r="I17" s="142"/>
      <c r="J17" s="142"/>
      <c r="K17" s="143"/>
    </row>
    <row r="18" spans="1:76" x14ac:dyDescent="0.25">
      <c r="A18" s="25" t="s">
        <v>71</v>
      </c>
      <c r="B18" s="26" t="s">
        <v>72</v>
      </c>
      <c r="C18" s="137" t="s">
        <v>73</v>
      </c>
      <c r="D18" s="138"/>
      <c r="E18" s="26" t="s">
        <v>62</v>
      </c>
      <c r="F18" s="28">
        <v>163.53</v>
      </c>
      <c r="G18" s="28">
        <v>0</v>
      </c>
      <c r="H18" s="28">
        <f>ROUND(F18*AO18,2)</f>
        <v>0</v>
      </c>
      <c r="I18" s="28">
        <f>ROUND(F18*AP18,2)</f>
        <v>0</v>
      </c>
      <c r="J18" s="28">
        <f>ROUND(F18*G18,2)</f>
        <v>0</v>
      </c>
      <c r="K18" s="29" t="s">
        <v>55</v>
      </c>
      <c r="Z18" s="30">
        <f>ROUND(IF(AQ18="5",BJ18,0),2)</f>
        <v>0</v>
      </c>
      <c r="AB18" s="30">
        <f>ROUND(IF(AQ18="1",BH18,0),2)</f>
        <v>0</v>
      </c>
      <c r="AC18" s="30">
        <f>ROUND(IF(AQ18="1",BI18,0),2)</f>
        <v>0</v>
      </c>
      <c r="AD18" s="30">
        <f>ROUND(IF(AQ18="7",BH18,0),2)</f>
        <v>0</v>
      </c>
      <c r="AE18" s="30">
        <f>ROUND(IF(AQ18="7",BI18,0),2)</f>
        <v>0</v>
      </c>
      <c r="AF18" s="30">
        <f>ROUND(IF(AQ18="2",BH18,0),2)</f>
        <v>0</v>
      </c>
      <c r="AG18" s="30">
        <f>ROUND(IF(AQ18="2",BI18,0),2)</f>
        <v>0</v>
      </c>
      <c r="AH18" s="30">
        <f>ROUND(IF(AQ18="0",BJ18,0),2)</f>
        <v>0</v>
      </c>
      <c r="AI18" s="11" t="s">
        <v>48</v>
      </c>
      <c r="AJ18" s="28">
        <f>IF(AN18=0,J18,0)</f>
        <v>0</v>
      </c>
      <c r="AK18" s="28">
        <f>IF(AN18=12,J18,0)</f>
        <v>0</v>
      </c>
      <c r="AL18" s="28">
        <f>IF(AN18=21,J18,0)</f>
        <v>0</v>
      </c>
      <c r="AN18" s="30">
        <v>21</v>
      </c>
      <c r="AO18" s="30">
        <f>G18*0</f>
        <v>0</v>
      </c>
      <c r="AP18" s="30">
        <f>G18*(1-0)</f>
        <v>0</v>
      </c>
      <c r="AQ18" s="31" t="s">
        <v>51</v>
      </c>
      <c r="AV18" s="30">
        <f>ROUND(AW18+AX18,2)</f>
        <v>0</v>
      </c>
      <c r="AW18" s="30">
        <f>ROUND(F18*AO18,2)</f>
        <v>0</v>
      </c>
      <c r="AX18" s="30">
        <f>ROUND(F18*AP18,2)</f>
        <v>0</v>
      </c>
      <c r="AY18" s="32" t="s">
        <v>68</v>
      </c>
      <c r="AZ18" s="32" t="s">
        <v>57</v>
      </c>
      <c r="BA18" s="11" t="s">
        <v>58</v>
      </c>
      <c r="BC18" s="30">
        <f>AW18+AX18</f>
        <v>0</v>
      </c>
      <c r="BD18" s="30">
        <f>G18/(100-BE18)*100</f>
        <v>0</v>
      </c>
      <c r="BE18" s="30">
        <v>0</v>
      </c>
      <c r="BF18" s="30">
        <f>18</f>
        <v>18</v>
      </c>
      <c r="BH18" s="28">
        <f>F18*AO18</f>
        <v>0</v>
      </c>
      <c r="BI18" s="28">
        <f>F18*AP18</f>
        <v>0</v>
      </c>
      <c r="BJ18" s="28">
        <f>F18*G18</f>
        <v>0</v>
      </c>
      <c r="BK18" s="28"/>
      <c r="BL18" s="30">
        <v>16</v>
      </c>
      <c r="BW18" s="30">
        <v>21</v>
      </c>
      <c r="BX18" s="27" t="s">
        <v>73</v>
      </c>
    </row>
    <row r="19" spans="1:76" x14ac:dyDescent="0.25">
      <c r="A19" s="25" t="s">
        <v>74</v>
      </c>
      <c r="B19" s="26" t="s">
        <v>75</v>
      </c>
      <c r="C19" s="137" t="s">
        <v>76</v>
      </c>
      <c r="D19" s="138"/>
      <c r="E19" s="26" t="s">
        <v>62</v>
      </c>
      <c r="F19" s="28">
        <v>817.65</v>
      </c>
      <c r="G19" s="28">
        <v>0</v>
      </c>
      <c r="H19" s="28">
        <f>ROUND(F19*AO19,2)</f>
        <v>0</v>
      </c>
      <c r="I19" s="28">
        <f>ROUND(F19*AP19,2)</f>
        <v>0</v>
      </c>
      <c r="J19" s="28">
        <f>ROUND(F19*G19,2)</f>
        <v>0</v>
      </c>
      <c r="K19" s="29" t="s">
        <v>55</v>
      </c>
      <c r="Z19" s="30">
        <f>ROUND(IF(AQ19="5",BJ19,0),2)</f>
        <v>0</v>
      </c>
      <c r="AB19" s="30">
        <f>ROUND(IF(AQ19="1",BH19,0),2)</f>
        <v>0</v>
      </c>
      <c r="AC19" s="30">
        <f>ROUND(IF(AQ19="1",BI19,0),2)</f>
        <v>0</v>
      </c>
      <c r="AD19" s="30">
        <f>ROUND(IF(AQ19="7",BH19,0),2)</f>
        <v>0</v>
      </c>
      <c r="AE19" s="30">
        <f>ROUND(IF(AQ19="7",BI19,0),2)</f>
        <v>0</v>
      </c>
      <c r="AF19" s="30">
        <f>ROUND(IF(AQ19="2",BH19,0),2)</f>
        <v>0</v>
      </c>
      <c r="AG19" s="30">
        <f>ROUND(IF(AQ19="2",BI19,0),2)</f>
        <v>0</v>
      </c>
      <c r="AH19" s="30">
        <f>ROUND(IF(AQ19="0",BJ19,0),2)</f>
        <v>0</v>
      </c>
      <c r="AI19" s="11" t="s">
        <v>48</v>
      </c>
      <c r="AJ19" s="28">
        <f>IF(AN19=0,J19,0)</f>
        <v>0</v>
      </c>
      <c r="AK19" s="28">
        <f>IF(AN19=12,J19,0)</f>
        <v>0</v>
      </c>
      <c r="AL19" s="28">
        <f>IF(AN19=21,J19,0)</f>
        <v>0</v>
      </c>
      <c r="AN19" s="30">
        <v>21</v>
      </c>
      <c r="AO19" s="30">
        <f>G19*0</f>
        <v>0</v>
      </c>
      <c r="AP19" s="30">
        <f>G19*(1-0)</f>
        <v>0</v>
      </c>
      <c r="AQ19" s="31" t="s">
        <v>51</v>
      </c>
      <c r="AV19" s="30">
        <f>ROUND(AW19+AX19,2)</f>
        <v>0</v>
      </c>
      <c r="AW19" s="30">
        <f>ROUND(F19*AO19,2)</f>
        <v>0</v>
      </c>
      <c r="AX19" s="30">
        <f>ROUND(F19*AP19,2)</f>
        <v>0</v>
      </c>
      <c r="AY19" s="32" t="s">
        <v>68</v>
      </c>
      <c r="AZ19" s="32" t="s">
        <v>57</v>
      </c>
      <c r="BA19" s="11" t="s">
        <v>58</v>
      </c>
      <c r="BC19" s="30">
        <f>AW19+AX19</f>
        <v>0</v>
      </c>
      <c r="BD19" s="30">
        <f>G19/(100-BE19)*100</f>
        <v>0</v>
      </c>
      <c r="BE19" s="30">
        <v>0</v>
      </c>
      <c r="BF19" s="30">
        <f>19</f>
        <v>19</v>
      </c>
      <c r="BH19" s="28">
        <f>F19*AO19</f>
        <v>0</v>
      </c>
      <c r="BI19" s="28">
        <f>F19*AP19</f>
        <v>0</v>
      </c>
      <c r="BJ19" s="28">
        <f>F19*G19</f>
        <v>0</v>
      </c>
      <c r="BK19" s="28"/>
      <c r="BL19" s="30">
        <v>16</v>
      </c>
      <c r="BW19" s="30">
        <v>21</v>
      </c>
      <c r="BX19" s="27" t="s">
        <v>76</v>
      </c>
    </row>
    <row r="20" spans="1:76" x14ac:dyDescent="0.25">
      <c r="A20" s="33" t="s">
        <v>48</v>
      </c>
      <c r="B20" s="34" t="s">
        <v>77</v>
      </c>
      <c r="C20" s="139" t="s">
        <v>78</v>
      </c>
      <c r="D20" s="140"/>
      <c r="E20" s="35" t="s">
        <v>3</v>
      </c>
      <c r="F20" s="35" t="s">
        <v>3</v>
      </c>
      <c r="G20" s="35" t="s">
        <v>3</v>
      </c>
      <c r="H20" s="1">
        <f>SUM(H21:H26)</f>
        <v>0</v>
      </c>
      <c r="I20" s="1">
        <f>SUM(I21:I26)</f>
        <v>0</v>
      </c>
      <c r="J20" s="1">
        <f>SUM(J21:J26)</f>
        <v>0</v>
      </c>
      <c r="K20" s="36" t="s">
        <v>48</v>
      </c>
      <c r="AI20" s="11" t="s">
        <v>48</v>
      </c>
      <c r="AS20" s="1">
        <f>SUM(AJ21:AJ26)</f>
        <v>0</v>
      </c>
      <c r="AT20" s="1">
        <f>SUM(AK21:AK26)</f>
        <v>0</v>
      </c>
      <c r="AU20" s="1">
        <f>SUM(AL21:AL26)</f>
        <v>0</v>
      </c>
    </row>
    <row r="21" spans="1:76" x14ac:dyDescent="0.25">
      <c r="A21" s="25" t="s">
        <v>79</v>
      </c>
      <c r="B21" s="26" t="s">
        <v>80</v>
      </c>
      <c r="C21" s="137" t="s">
        <v>81</v>
      </c>
      <c r="D21" s="138"/>
      <c r="E21" s="26" t="s">
        <v>54</v>
      </c>
      <c r="F21" s="28">
        <v>327.06</v>
      </c>
      <c r="G21" s="28">
        <v>0</v>
      </c>
      <c r="H21" s="28">
        <f t="shared" ref="H21:H26" si="0">ROUND(F21*AO21,2)</f>
        <v>0</v>
      </c>
      <c r="I21" s="28">
        <f t="shared" ref="I21:I26" si="1">ROUND(F21*AP21,2)</f>
        <v>0</v>
      </c>
      <c r="J21" s="28">
        <f t="shared" ref="J21:J26" si="2">ROUND(F21*G21,2)</f>
        <v>0</v>
      </c>
      <c r="K21" s="29" t="s">
        <v>55</v>
      </c>
      <c r="Z21" s="30">
        <f t="shared" ref="Z21:Z26" si="3">ROUND(IF(AQ21="5",BJ21,0),2)</f>
        <v>0</v>
      </c>
      <c r="AB21" s="30">
        <f t="shared" ref="AB21:AB26" si="4">ROUND(IF(AQ21="1",BH21,0),2)</f>
        <v>0</v>
      </c>
      <c r="AC21" s="30">
        <f t="shared" ref="AC21:AC26" si="5">ROUND(IF(AQ21="1",BI21,0),2)</f>
        <v>0</v>
      </c>
      <c r="AD21" s="30">
        <f t="shared" ref="AD21:AD26" si="6">ROUND(IF(AQ21="7",BH21,0),2)</f>
        <v>0</v>
      </c>
      <c r="AE21" s="30">
        <f t="shared" ref="AE21:AE26" si="7">ROUND(IF(AQ21="7",BI21,0),2)</f>
        <v>0</v>
      </c>
      <c r="AF21" s="30">
        <f t="shared" ref="AF21:AF26" si="8">ROUND(IF(AQ21="2",BH21,0),2)</f>
        <v>0</v>
      </c>
      <c r="AG21" s="30">
        <f t="shared" ref="AG21:AG26" si="9">ROUND(IF(AQ21="2",BI21,0),2)</f>
        <v>0</v>
      </c>
      <c r="AH21" s="30">
        <f t="shared" ref="AH21:AH26" si="10">ROUND(IF(AQ21="0",BJ21,0),2)</f>
        <v>0</v>
      </c>
      <c r="AI21" s="11" t="s">
        <v>48</v>
      </c>
      <c r="AJ21" s="28">
        <f t="shared" ref="AJ21:AJ26" si="11">IF(AN21=0,J21,0)</f>
        <v>0</v>
      </c>
      <c r="AK21" s="28">
        <f t="shared" ref="AK21:AK26" si="12">IF(AN21=12,J21,0)</f>
        <v>0</v>
      </c>
      <c r="AL21" s="28">
        <f t="shared" ref="AL21:AL26" si="13">IF(AN21=21,J21,0)</f>
        <v>0</v>
      </c>
      <c r="AN21" s="30">
        <v>21</v>
      </c>
      <c r="AO21" s="30">
        <f>G21*0.068199397</f>
        <v>0</v>
      </c>
      <c r="AP21" s="30">
        <f>G21*(1-0.068199397)</f>
        <v>0</v>
      </c>
      <c r="AQ21" s="31" t="s">
        <v>51</v>
      </c>
      <c r="AV21" s="30">
        <f t="shared" ref="AV21:AV26" si="14">ROUND(AW21+AX21,2)</f>
        <v>0</v>
      </c>
      <c r="AW21" s="30">
        <f t="shared" ref="AW21:AW26" si="15">ROUND(F21*AO21,2)</f>
        <v>0</v>
      </c>
      <c r="AX21" s="30">
        <f t="shared" ref="AX21:AX26" si="16">ROUND(F21*AP21,2)</f>
        <v>0</v>
      </c>
      <c r="AY21" s="32" t="s">
        <v>82</v>
      </c>
      <c r="AZ21" s="32" t="s">
        <v>57</v>
      </c>
      <c r="BA21" s="11" t="s">
        <v>58</v>
      </c>
      <c r="BC21" s="30">
        <f t="shared" ref="BC21:BC26" si="17">AW21+AX21</f>
        <v>0</v>
      </c>
      <c r="BD21" s="30">
        <f t="shared" ref="BD21:BD26" si="18">G21/(100-BE21)*100</f>
        <v>0</v>
      </c>
      <c r="BE21" s="30">
        <v>0</v>
      </c>
      <c r="BF21" s="30">
        <f>21</f>
        <v>21</v>
      </c>
      <c r="BH21" s="28">
        <f t="shared" ref="BH21:BH26" si="19">F21*AO21</f>
        <v>0</v>
      </c>
      <c r="BI21" s="28">
        <f t="shared" ref="BI21:BI26" si="20">F21*AP21</f>
        <v>0</v>
      </c>
      <c r="BJ21" s="28">
        <f t="shared" ref="BJ21:BJ26" si="21">F21*G21</f>
        <v>0</v>
      </c>
      <c r="BK21" s="28"/>
      <c r="BL21" s="30">
        <v>18</v>
      </c>
      <c r="BW21" s="30">
        <v>21</v>
      </c>
      <c r="BX21" s="27" t="s">
        <v>81</v>
      </c>
    </row>
    <row r="22" spans="1:76" x14ac:dyDescent="0.25">
      <c r="A22" s="2" t="s">
        <v>83</v>
      </c>
      <c r="B22" s="3" t="s">
        <v>84</v>
      </c>
      <c r="C22" s="81" t="s">
        <v>85</v>
      </c>
      <c r="D22" s="78"/>
      <c r="E22" s="3" t="s">
        <v>86</v>
      </c>
      <c r="F22" s="30">
        <v>15</v>
      </c>
      <c r="G22" s="30">
        <v>0</v>
      </c>
      <c r="H22" s="30">
        <f t="shared" si="0"/>
        <v>0</v>
      </c>
      <c r="I22" s="30">
        <f t="shared" si="1"/>
        <v>0</v>
      </c>
      <c r="J22" s="30">
        <f t="shared" si="2"/>
        <v>0</v>
      </c>
      <c r="K22" s="39" t="s">
        <v>55</v>
      </c>
      <c r="Z22" s="30">
        <f t="shared" si="3"/>
        <v>0</v>
      </c>
      <c r="AB22" s="30">
        <f t="shared" si="4"/>
        <v>0</v>
      </c>
      <c r="AC22" s="30">
        <f t="shared" si="5"/>
        <v>0</v>
      </c>
      <c r="AD22" s="30">
        <f t="shared" si="6"/>
        <v>0</v>
      </c>
      <c r="AE22" s="30">
        <f t="shared" si="7"/>
        <v>0</v>
      </c>
      <c r="AF22" s="30">
        <f t="shared" si="8"/>
        <v>0</v>
      </c>
      <c r="AG22" s="30">
        <f t="shared" si="9"/>
        <v>0</v>
      </c>
      <c r="AH22" s="30">
        <f t="shared" si="10"/>
        <v>0</v>
      </c>
      <c r="AI22" s="11" t="s">
        <v>48</v>
      </c>
      <c r="AJ22" s="30">
        <f t="shared" si="11"/>
        <v>0</v>
      </c>
      <c r="AK22" s="30">
        <f t="shared" si="12"/>
        <v>0</v>
      </c>
      <c r="AL22" s="30">
        <f t="shared" si="13"/>
        <v>0</v>
      </c>
      <c r="AN22" s="30">
        <v>21</v>
      </c>
      <c r="AO22" s="30">
        <f>G22*1</f>
        <v>0</v>
      </c>
      <c r="AP22" s="30">
        <f>G22*(1-1)</f>
        <v>0</v>
      </c>
      <c r="AQ22" s="32" t="s">
        <v>51</v>
      </c>
      <c r="AV22" s="30">
        <f t="shared" si="14"/>
        <v>0</v>
      </c>
      <c r="AW22" s="30">
        <f t="shared" si="15"/>
        <v>0</v>
      </c>
      <c r="AX22" s="30">
        <f t="shared" si="16"/>
        <v>0</v>
      </c>
      <c r="AY22" s="32" t="s">
        <v>82</v>
      </c>
      <c r="AZ22" s="32" t="s">
        <v>57</v>
      </c>
      <c r="BA22" s="11" t="s">
        <v>58</v>
      </c>
      <c r="BC22" s="30">
        <f t="shared" si="17"/>
        <v>0</v>
      </c>
      <c r="BD22" s="30">
        <f t="shared" si="18"/>
        <v>0</v>
      </c>
      <c r="BE22" s="30">
        <v>0</v>
      </c>
      <c r="BF22" s="30">
        <f>22</f>
        <v>22</v>
      </c>
      <c r="BH22" s="30">
        <f t="shared" si="19"/>
        <v>0</v>
      </c>
      <c r="BI22" s="30">
        <f t="shared" si="20"/>
        <v>0</v>
      </c>
      <c r="BJ22" s="30">
        <f t="shared" si="21"/>
        <v>0</v>
      </c>
      <c r="BK22" s="30"/>
      <c r="BL22" s="30">
        <v>18</v>
      </c>
      <c r="BW22" s="30">
        <v>21</v>
      </c>
      <c r="BX22" s="5" t="s">
        <v>85</v>
      </c>
    </row>
    <row r="23" spans="1:76" x14ac:dyDescent="0.25">
      <c r="A23" s="25" t="s">
        <v>87</v>
      </c>
      <c r="B23" s="26" t="s">
        <v>88</v>
      </c>
      <c r="C23" s="137" t="s">
        <v>89</v>
      </c>
      <c r="D23" s="138"/>
      <c r="E23" s="26" t="s">
        <v>54</v>
      </c>
      <c r="F23" s="28">
        <v>327.06</v>
      </c>
      <c r="G23" s="28">
        <v>0</v>
      </c>
      <c r="H23" s="28">
        <f t="shared" si="0"/>
        <v>0</v>
      </c>
      <c r="I23" s="28">
        <f t="shared" si="1"/>
        <v>0</v>
      </c>
      <c r="J23" s="28">
        <f t="shared" si="2"/>
        <v>0</v>
      </c>
      <c r="K23" s="29" t="s">
        <v>55</v>
      </c>
      <c r="Z23" s="30">
        <f t="shared" si="3"/>
        <v>0</v>
      </c>
      <c r="AB23" s="30">
        <f t="shared" si="4"/>
        <v>0</v>
      </c>
      <c r="AC23" s="30">
        <f t="shared" si="5"/>
        <v>0</v>
      </c>
      <c r="AD23" s="30">
        <f t="shared" si="6"/>
        <v>0</v>
      </c>
      <c r="AE23" s="30">
        <f t="shared" si="7"/>
        <v>0</v>
      </c>
      <c r="AF23" s="30">
        <f t="shared" si="8"/>
        <v>0</v>
      </c>
      <c r="AG23" s="30">
        <f t="shared" si="9"/>
        <v>0</v>
      </c>
      <c r="AH23" s="30">
        <f t="shared" si="10"/>
        <v>0</v>
      </c>
      <c r="AI23" s="11" t="s">
        <v>48</v>
      </c>
      <c r="AJ23" s="28">
        <f t="shared" si="11"/>
        <v>0</v>
      </c>
      <c r="AK23" s="28">
        <f t="shared" si="12"/>
        <v>0</v>
      </c>
      <c r="AL23" s="28">
        <f t="shared" si="13"/>
        <v>0</v>
      </c>
      <c r="AN23" s="30">
        <v>21</v>
      </c>
      <c r="AO23" s="30">
        <f>G23*0</f>
        <v>0</v>
      </c>
      <c r="AP23" s="30">
        <f>G23*(1-0)</f>
        <v>0</v>
      </c>
      <c r="AQ23" s="31" t="s">
        <v>51</v>
      </c>
      <c r="AV23" s="30">
        <f t="shared" si="14"/>
        <v>0</v>
      </c>
      <c r="AW23" s="30">
        <f t="shared" si="15"/>
        <v>0</v>
      </c>
      <c r="AX23" s="30">
        <f t="shared" si="16"/>
        <v>0</v>
      </c>
      <c r="AY23" s="32" t="s">
        <v>82</v>
      </c>
      <c r="AZ23" s="32" t="s">
        <v>57</v>
      </c>
      <c r="BA23" s="11" t="s">
        <v>58</v>
      </c>
      <c r="BC23" s="30">
        <f t="shared" si="17"/>
        <v>0</v>
      </c>
      <c r="BD23" s="30">
        <f t="shared" si="18"/>
        <v>0</v>
      </c>
      <c r="BE23" s="30">
        <v>0</v>
      </c>
      <c r="BF23" s="30">
        <f>23</f>
        <v>23</v>
      </c>
      <c r="BH23" s="28">
        <f t="shared" si="19"/>
        <v>0</v>
      </c>
      <c r="BI23" s="28">
        <f t="shared" si="20"/>
        <v>0</v>
      </c>
      <c r="BJ23" s="28">
        <f t="shared" si="21"/>
        <v>0</v>
      </c>
      <c r="BK23" s="28"/>
      <c r="BL23" s="30">
        <v>18</v>
      </c>
      <c r="BW23" s="30">
        <v>21</v>
      </c>
      <c r="BX23" s="27" t="s">
        <v>89</v>
      </c>
    </row>
    <row r="24" spans="1:76" x14ac:dyDescent="0.25">
      <c r="A24" s="25" t="s">
        <v>90</v>
      </c>
      <c r="B24" s="26" t="s">
        <v>91</v>
      </c>
      <c r="C24" s="137" t="s">
        <v>92</v>
      </c>
      <c r="D24" s="138"/>
      <c r="E24" s="26" t="s">
        <v>62</v>
      </c>
      <c r="F24" s="28">
        <v>10</v>
      </c>
      <c r="G24" s="28">
        <v>0</v>
      </c>
      <c r="H24" s="28">
        <f t="shared" si="0"/>
        <v>0</v>
      </c>
      <c r="I24" s="28">
        <f t="shared" si="1"/>
        <v>0</v>
      </c>
      <c r="J24" s="28">
        <f t="shared" si="2"/>
        <v>0</v>
      </c>
      <c r="K24" s="29" t="s">
        <v>55</v>
      </c>
      <c r="Z24" s="30">
        <f t="shared" si="3"/>
        <v>0</v>
      </c>
      <c r="AB24" s="30">
        <f t="shared" si="4"/>
        <v>0</v>
      </c>
      <c r="AC24" s="30">
        <f t="shared" si="5"/>
        <v>0</v>
      </c>
      <c r="AD24" s="30">
        <f t="shared" si="6"/>
        <v>0</v>
      </c>
      <c r="AE24" s="30">
        <f t="shared" si="7"/>
        <v>0</v>
      </c>
      <c r="AF24" s="30">
        <f t="shared" si="8"/>
        <v>0</v>
      </c>
      <c r="AG24" s="30">
        <f t="shared" si="9"/>
        <v>0</v>
      </c>
      <c r="AH24" s="30">
        <f t="shared" si="10"/>
        <v>0</v>
      </c>
      <c r="AI24" s="11" t="s">
        <v>48</v>
      </c>
      <c r="AJ24" s="28">
        <f t="shared" si="11"/>
        <v>0</v>
      </c>
      <c r="AK24" s="28">
        <f t="shared" si="12"/>
        <v>0</v>
      </c>
      <c r="AL24" s="28">
        <f t="shared" si="13"/>
        <v>0</v>
      </c>
      <c r="AN24" s="30">
        <v>21</v>
      </c>
      <c r="AO24" s="30">
        <f>G24*0</f>
        <v>0</v>
      </c>
      <c r="AP24" s="30">
        <f>G24*(1-0)</f>
        <v>0</v>
      </c>
      <c r="AQ24" s="31" t="s">
        <v>51</v>
      </c>
      <c r="AV24" s="30">
        <f t="shared" si="14"/>
        <v>0</v>
      </c>
      <c r="AW24" s="30">
        <f t="shared" si="15"/>
        <v>0</v>
      </c>
      <c r="AX24" s="30">
        <f t="shared" si="16"/>
        <v>0</v>
      </c>
      <c r="AY24" s="32" t="s">
        <v>82</v>
      </c>
      <c r="AZ24" s="32" t="s">
        <v>57</v>
      </c>
      <c r="BA24" s="11" t="s">
        <v>58</v>
      </c>
      <c r="BC24" s="30">
        <f t="shared" si="17"/>
        <v>0</v>
      </c>
      <c r="BD24" s="30">
        <f t="shared" si="18"/>
        <v>0</v>
      </c>
      <c r="BE24" s="30">
        <v>0</v>
      </c>
      <c r="BF24" s="30">
        <f>24</f>
        <v>24</v>
      </c>
      <c r="BH24" s="28">
        <f t="shared" si="19"/>
        <v>0</v>
      </c>
      <c r="BI24" s="28">
        <f t="shared" si="20"/>
        <v>0</v>
      </c>
      <c r="BJ24" s="28">
        <f t="shared" si="21"/>
        <v>0</v>
      </c>
      <c r="BK24" s="28"/>
      <c r="BL24" s="30">
        <v>18</v>
      </c>
      <c r="BW24" s="30">
        <v>21</v>
      </c>
      <c r="BX24" s="27" t="s">
        <v>92</v>
      </c>
    </row>
    <row r="25" spans="1:76" x14ac:dyDescent="0.25">
      <c r="A25" s="25" t="s">
        <v>93</v>
      </c>
      <c r="B25" s="26" t="s">
        <v>94</v>
      </c>
      <c r="C25" s="137" t="s">
        <v>95</v>
      </c>
      <c r="D25" s="138"/>
      <c r="E25" s="26" t="s">
        <v>62</v>
      </c>
      <c r="F25" s="28">
        <v>10</v>
      </c>
      <c r="G25" s="28">
        <v>0</v>
      </c>
      <c r="H25" s="28">
        <f t="shared" si="0"/>
        <v>0</v>
      </c>
      <c r="I25" s="28">
        <f t="shared" si="1"/>
        <v>0</v>
      </c>
      <c r="J25" s="28">
        <f t="shared" si="2"/>
        <v>0</v>
      </c>
      <c r="K25" s="29" t="s">
        <v>55</v>
      </c>
      <c r="Z25" s="30">
        <f t="shared" si="3"/>
        <v>0</v>
      </c>
      <c r="AB25" s="30">
        <f t="shared" si="4"/>
        <v>0</v>
      </c>
      <c r="AC25" s="30">
        <f t="shared" si="5"/>
        <v>0</v>
      </c>
      <c r="AD25" s="30">
        <f t="shared" si="6"/>
        <v>0</v>
      </c>
      <c r="AE25" s="30">
        <f t="shared" si="7"/>
        <v>0</v>
      </c>
      <c r="AF25" s="30">
        <f t="shared" si="8"/>
        <v>0</v>
      </c>
      <c r="AG25" s="30">
        <f t="shared" si="9"/>
        <v>0</v>
      </c>
      <c r="AH25" s="30">
        <f t="shared" si="10"/>
        <v>0</v>
      </c>
      <c r="AI25" s="11" t="s">
        <v>48</v>
      </c>
      <c r="AJ25" s="28">
        <f t="shared" si="11"/>
        <v>0</v>
      </c>
      <c r="AK25" s="28">
        <f t="shared" si="12"/>
        <v>0</v>
      </c>
      <c r="AL25" s="28">
        <f t="shared" si="13"/>
        <v>0</v>
      </c>
      <c r="AN25" s="30">
        <v>21</v>
      </c>
      <c r="AO25" s="30">
        <f>G25*0.304574468</f>
        <v>0</v>
      </c>
      <c r="AP25" s="30">
        <f>G25*(1-0.304574468)</f>
        <v>0</v>
      </c>
      <c r="AQ25" s="31" t="s">
        <v>51</v>
      </c>
      <c r="AV25" s="30">
        <f t="shared" si="14"/>
        <v>0</v>
      </c>
      <c r="AW25" s="30">
        <f t="shared" si="15"/>
        <v>0</v>
      </c>
      <c r="AX25" s="30">
        <f t="shared" si="16"/>
        <v>0</v>
      </c>
      <c r="AY25" s="32" t="s">
        <v>82</v>
      </c>
      <c r="AZ25" s="32" t="s">
        <v>57</v>
      </c>
      <c r="BA25" s="11" t="s">
        <v>58</v>
      </c>
      <c r="BC25" s="30">
        <f t="shared" si="17"/>
        <v>0</v>
      </c>
      <c r="BD25" s="30">
        <f t="shared" si="18"/>
        <v>0</v>
      </c>
      <c r="BE25" s="30">
        <v>0</v>
      </c>
      <c r="BF25" s="30">
        <f>25</f>
        <v>25</v>
      </c>
      <c r="BH25" s="28">
        <f t="shared" si="19"/>
        <v>0</v>
      </c>
      <c r="BI25" s="28">
        <f t="shared" si="20"/>
        <v>0</v>
      </c>
      <c r="BJ25" s="28">
        <f t="shared" si="21"/>
        <v>0</v>
      </c>
      <c r="BK25" s="28"/>
      <c r="BL25" s="30">
        <v>18</v>
      </c>
      <c r="BW25" s="30">
        <v>21</v>
      </c>
      <c r="BX25" s="27" t="s">
        <v>95</v>
      </c>
    </row>
    <row r="26" spans="1:76" x14ac:dyDescent="0.25">
      <c r="A26" s="25" t="s">
        <v>49</v>
      </c>
      <c r="B26" s="26" t="s">
        <v>96</v>
      </c>
      <c r="C26" s="137" t="s">
        <v>97</v>
      </c>
      <c r="D26" s="138"/>
      <c r="E26" s="26" t="s">
        <v>98</v>
      </c>
      <c r="F26" s="28">
        <v>1.4999999999999999E-2</v>
      </c>
      <c r="G26" s="28">
        <v>0</v>
      </c>
      <c r="H26" s="28">
        <f t="shared" si="0"/>
        <v>0</v>
      </c>
      <c r="I26" s="28">
        <f t="shared" si="1"/>
        <v>0</v>
      </c>
      <c r="J26" s="28">
        <f t="shared" si="2"/>
        <v>0</v>
      </c>
      <c r="K26" s="29" t="s">
        <v>55</v>
      </c>
      <c r="Z26" s="30">
        <f t="shared" si="3"/>
        <v>0</v>
      </c>
      <c r="AB26" s="30">
        <f t="shared" si="4"/>
        <v>0</v>
      </c>
      <c r="AC26" s="30">
        <f t="shared" si="5"/>
        <v>0</v>
      </c>
      <c r="AD26" s="30">
        <f t="shared" si="6"/>
        <v>0</v>
      </c>
      <c r="AE26" s="30">
        <f t="shared" si="7"/>
        <v>0</v>
      </c>
      <c r="AF26" s="30">
        <f t="shared" si="8"/>
        <v>0</v>
      </c>
      <c r="AG26" s="30">
        <f t="shared" si="9"/>
        <v>0</v>
      </c>
      <c r="AH26" s="30">
        <f t="shared" si="10"/>
        <v>0</v>
      </c>
      <c r="AI26" s="11" t="s">
        <v>48</v>
      </c>
      <c r="AJ26" s="28">
        <f t="shared" si="11"/>
        <v>0</v>
      </c>
      <c r="AK26" s="28">
        <f t="shared" si="12"/>
        <v>0</v>
      </c>
      <c r="AL26" s="28">
        <f t="shared" si="13"/>
        <v>0</v>
      </c>
      <c r="AN26" s="30">
        <v>21</v>
      </c>
      <c r="AO26" s="30">
        <f>G26*0</f>
        <v>0</v>
      </c>
      <c r="AP26" s="30">
        <f>G26*(1-0)</f>
        <v>0</v>
      </c>
      <c r="AQ26" s="31" t="s">
        <v>74</v>
      </c>
      <c r="AV26" s="30">
        <f t="shared" si="14"/>
        <v>0</v>
      </c>
      <c r="AW26" s="30">
        <f t="shared" si="15"/>
        <v>0</v>
      </c>
      <c r="AX26" s="30">
        <f t="shared" si="16"/>
        <v>0</v>
      </c>
      <c r="AY26" s="32" t="s">
        <v>82</v>
      </c>
      <c r="AZ26" s="32" t="s">
        <v>57</v>
      </c>
      <c r="BA26" s="11" t="s">
        <v>58</v>
      </c>
      <c r="BC26" s="30">
        <f t="shared" si="17"/>
        <v>0</v>
      </c>
      <c r="BD26" s="30">
        <f t="shared" si="18"/>
        <v>0</v>
      </c>
      <c r="BE26" s="30">
        <v>0</v>
      </c>
      <c r="BF26" s="30">
        <f>26</f>
        <v>26</v>
      </c>
      <c r="BH26" s="28">
        <f t="shared" si="19"/>
        <v>0</v>
      </c>
      <c r="BI26" s="28">
        <f t="shared" si="20"/>
        <v>0</v>
      </c>
      <c r="BJ26" s="28">
        <f t="shared" si="21"/>
        <v>0</v>
      </c>
      <c r="BK26" s="28"/>
      <c r="BL26" s="30">
        <v>18</v>
      </c>
      <c r="BW26" s="30">
        <v>21</v>
      </c>
      <c r="BX26" s="27" t="s">
        <v>97</v>
      </c>
    </row>
    <row r="27" spans="1:76" x14ac:dyDescent="0.25">
      <c r="A27" s="33" t="s">
        <v>48</v>
      </c>
      <c r="B27" s="34" t="s">
        <v>99</v>
      </c>
      <c r="C27" s="139" t="s">
        <v>100</v>
      </c>
      <c r="D27" s="140"/>
      <c r="E27" s="35" t="s">
        <v>3</v>
      </c>
      <c r="F27" s="35" t="s">
        <v>3</v>
      </c>
      <c r="G27" s="35" t="s">
        <v>3</v>
      </c>
      <c r="H27" s="1">
        <f>SUM(H28:H30)</f>
        <v>0</v>
      </c>
      <c r="I27" s="1">
        <f>SUM(I28:I30)</f>
        <v>0</v>
      </c>
      <c r="J27" s="1">
        <f>SUM(J28:J30)</f>
        <v>0</v>
      </c>
      <c r="K27" s="36" t="s">
        <v>48</v>
      </c>
      <c r="AI27" s="11" t="s">
        <v>48</v>
      </c>
      <c r="AS27" s="1">
        <f>SUM(AJ28:AJ30)</f>
        <v>0</v>
      </c>
      <c r="AT27" s="1">
        <f>SUM(AK28:AK30)</f>
        <v>0</v>
      </c>
      <c r="AU27" s="1">
        <f>SUM(AL28:AL30)</f>
        <v>0</v>
      </c>
    </row>
    <row r="28" spans="1:76" x14ac:dyDescent="0.25">
      <c r="A28" s="25" t="s">
        <v>101</v>
      </c>
      <c r="B28" s="26" t="s">
        <v>102</v>
      </c>
      <c r="C28" s="137" t="s">
        <v>103</v>
      </c>
      <c r="D28" s="138"/>
      <c r="E28" s="26" t="s">
        <v>54</v>
      </c>
      <c r="F28" s="28">
        <v>195.75</v>
      </c>
      <c r="G28" s="28">
        <v>0</v>
      </c>
      <c r="H28" s="28">
        <f>ROUND(F28*AO28,2)</f>
        <v>0</v>
      </c>
      <c r="I28" s="28">
        <f>ROUND(F28*AP28,2)</f>
        <v>0</v>
      </c>
      <c r="J28" s="28">
        <f>ROUND(F28*G28,2)</f>
        <v>0</v>
      </c>
      <c r="K28" s="29" t="s">
        <v>55</v>
      </c>
      <c r="Z28" s="30">
        <f>ROUND(IF(AQ28="5",BJ28,0),2)</f>
        <v>0</v>
      </c>
      <c r="AB28" s="30">
        <f>ROUND(IF(AQ28="1",BH28,0),2)</f>
        <v>0</v>
      </c>
      <c r="AC28" s="30">
        <f>ROUND(IF(AQ28="1",BI28,0),2)</f>
        <v>0</v>
      </c>
      <c r="AD28" s="30">
        <f>ROUND(IF(AQ28="7",BH28,0),2)</f>
        <v>0</v>
      </c>
      <c r="AE28" s="30">
        <f>ROUND(IF(AQ28="7",BI28,0),2)</f>
        <v>0</v>
      </c>
      <c r="AF28" s="30">
        <f>ROUND(IF(AQ28="2",BH28,0),2)</f>
        <v>0</v>
      </c>
      <c r="AG28" s="30">
        <f>ROUND(IF(AQ28="2",BI28,0),2)</f>
        <v>0</v>
      </c>
      <c r="AH28" s="30">
        <f>ROUND(IF(AQ28="0",BJ28,0),2)</f>
        <v>0</v>
      </c>
      <c r="AI28" s="11" t="s">
        <v>48</v>
      </c>
      <c r="AJ28" s="28">
        <f>IF(AN28=0,J28,0)</f>
        <v>0</v>
      </c>
      <c r="AK28" s="28">
        <f>IF(AN28=12,J28,0)</f>
        <v>0</v>
      </c>
      <c r="AL28" s="28">
        <f>IF(AN28=21,J28,0)</f>
        <v>0</v>
      </c>
      <c r="AN28" s="30">
        <v>21</v>
      </c>
      <c r="AO28" s="30">
        <f>G28*0.000431965</f>
        <v>0</v>
      </c>
      <c r="AP28" s="30">
        <f>G28*(1-0.000431965)</f>
        <v>0</v>
      </c>
      <c r="AQ28" s="31" t="s">
        <v>51</v>
      </c>
      <c r="AV28" s="30">
        <f>ROUND(AW28+AX28,2)</f>
        <v>0</v>
      </c>
      <c r="AW28" s="30">
        <f>ROUND(F28*AO28,2)</f>
        <v>0</v>
      </c>
      <c r="AX28" s="30">
        <f>ROUND(F28*AP28,2)</f>
        <v>0</v>
      </c>
      <c r="AY28" s="32" t="s">
        <v>104</v>
      </c>
      <c r="AZ28" s="32" t="s">
        <v>105</v>
      </c>
      <c r="BA28" s="11" t="s">
        <v>58</v>
      </c>
      <c r="BC28" s="30">
        <f>AW28+AX28</f>
        <v>0</v>
      </c>
      <c r="BD28" s="30">
        <f>G28/(100-BE28)*100</f>
        <v>0</v>
      </c>
      <c r="BE28" s="30">
        <v>0</v>
      </c>
      <c r="BF28" s="30">
        <f>28</f>
        <v>28</v>
      </c>
      <c r="BH28" s="28">
        <f>F28*AO28</f>
        <v>0</v>
      </c>
      <c r="BI28" s="28">
        <f>F28*AP28</f>
        <v>0</v>
      </c>
      <c r="BJ28" s="28">
        <f>F28*G28</f>
        <v>0</v>
      </c>
      <c r="BK28" s="28"/>
      <c r="BL28" s="30">
        <v>94</v>
      </c>
      <c r="BW28" s="30">
        <v>21</v>
      </c>
      <c r="BX28" s="27" t="s">
        <v>103</v>
      </c>
    </row>
    <row r="29" spans="1:76" x14ac:dyDescent="0.25">
      <c r="A29" s="25" t="s">
        <v>106</v>
      </c>
      <c r="B29" s="26" t="s">
        <v>107</v>
      </c>
      <c r="C29" s="137" t="s">
        <v>108</v>
      </c>
      <c r="D29" s="138"/>
      <c r="E29" s="26" t="s">
        <v>54</v>
      </c>
      <c r="F29" s="28">
        <v>195.75</v>
      </c>
      <c r="G29" s="28">
        <v>0</v>
      </c>
      <c r="H29" s="28">
        <f>ROUND(F29*AO29,2)</f>
        <v>0</v>
      </c>
      <c r="I29" s="28">
        <f>ROUND(F29*AP29,2)</f>
        <v>0</v>
      </c>
      <c r="J29" s="28">
        <f>ROUND(F29*G29,2)</f>
        <v>0</v>
      </c>
      <c r="K29" s="29" t="s">
        <v>55</v>
      </c>
      <c r="Z29" s="30">
        <f>ROUND(IF(AQ29="5",BJ29,0),2)</f>
        <v>0</v>
      </c>
      <c r="AB29" s="30">
        <f>ROUND(IF(AQ29="1",BH29,0),2)</f>
        <v>0</v>
      </c>
      <c r="AC29" s="30">
        <f>ROUND(IF(AQ29="1",BI29,0),2)</f>
        <v>0</v>
      </c>
      <c r="AD29" s="30">
        <f>ROUND(IF(AQ29="7",BH29,0),2)</f>
        <v>0</v>
      </c>
      <c r="AE29" s="30">
        <f>ROUND(IF(AQ29="7",BI29,0),2)</f>
        <v>0</v>
      </c>
      <c r="AF29" s="30">
        <f>ROUND(IF(AQ29="2",BH29,0),2)</f>
        <v>0</v>
      </c>
      <c r="AG29" s="30">
        <f>ROUND(IF(AQ29="2",BI29,0),2)</f>
        <v>0</v>
      </c>
      <c r="AH29" s="30">
        <f>ROUND(IF(AQ29="0",BJ29,0),2)</f>
        <v>0</v>
      </c>
      <c r="AI29" s="11" t="s">
        <v>48</v>
      </c>
      <c r="AJ29" s="28">
        <f>IF(AN29=0,J29,0)</f>
        <v>0</v>
      </c>
      <c r="AK29" s="28">
        <f>IF(AN29=12,J29,0)</f>
        <v>0</v>
      </c>
      <c r="AL29" s="28">
        <f>IF(AN29=21,J29,0)</f>
        <v>0</v>
      </c>
      <c r="AN29" s="30">
        <v>21</v>
      </c>
      <c r="AO29" s="30">
        <f>G29*0.935825555</f>
        <v>0</v>
      </c>
      <c r="AP29" s="30">
        <f>G29*(1-0.935825555)</f>
        <v>0</v>
      </c>
      <c r="AQ29" s="31" t="s">
        <v>51</v>
      </c>
      <c r="AV29" s="30">
        <f>ROUND(AW29+AX29,2)</f>
        <v>0</v>
      </c>
      <c r="AW29" s="30">
        <f>ROUND(F29*AO29,2)</f>
        <v>0</v>
      </c>
      <c r="AX29" s="30">
        <f>ROUND(F29*AP29,2)</f>
        <v>0</v>
      </c>
      <c r="AY29" s="32" t="s">
        <v>104</v>
      </c>
      <c r="AZ29" s="32" t="s">
        <v>105</v>
      </c>
      <c r="BA29" s="11" t="s">
        <v>58</v>
      </c>
      <c r="BC29" s="30">
        <f>AW29+AX29</f>
        <v>0</v>
      </c>
      <c r="BD29" s="30">
        <f>G29/(100-BE29)*100</f>
        <v>0</v>
      </c>
      <c r="BE29" s="30">
        <v>0</v>
      </c>
      <c r="BF29" s="30">
        <f>29</f>
        <v>29</v>
      </c>
      <c r="BH29" s="28">
        <f>F29*AO29</f>
        <v>0</v>
      </c>
      <c r="BI29" s="28">
        <f>F29*AP29</f>
        <v>0</v>
      </c>
      <c r="BJ29" s="28">
        <f>F29*G29</f>
        <v>0</v>
      </c>
      <c r="BK29" s="28"/>
      <c r="BL29" s="30">
        <v>94</v>
      </c>
      <c r="BW29" s="30">
        <v>21</v>
      </c>
      <c r="BX29" s="27" t="s">
        <v>108</v>
      </c>
    </row>
    <row r="30" spans="1:76" x14ac:dyDescent="0.25">
      <c r="A30" s="25" t="s">
        <v>109</v>
      </c>
      <c r="B30" s="26" t="s">
        <v>110</v>
      </c>
      <c r="C30" s="137" t="s">
        <v>111</v>
      </c>
      <c r="D30" s="138"/>
      <c r="E30" s="26" t="s">
        <v>54</v>
      </c>
      <c r="F30" s="28">
        <v>195.75</v>
      </c>
      <c r="G30" s="28">
        <v>0</v>
      </c>
      <c r="H30" s="28">
        <f>ROUND(F30*AO30,2)</f>
        <v>0</v>
      </c>
      <c r="I30" s="28">
        <f>ROUND(F30*AP30,2)</f>
        <v>0</v>
      </c>
      <c r="J30" s="28">
        <f>ROUND(F30*G30,2)</f>
        <v>0</v>
      </c>
      <c r="K30" s="29" t="s">
        <v>55</v>
      </c>
      <c r="Z30" s="30">
        <f>ROUND(IF(AQ30="5",BJ30,0),2)</f>
        <v>0</v>
      </c>
      <c r="AB30" s="30">
        <f>ROUND(IF(AQ30="1",BH30,0),2)</f>
        <v>0</v>
      </c>
      <c r="AC30" s="30">
        <f>ROUND(IF(AQ30="1",BI30,0),2)</f>
        <v>0</v>
      </c>
      <c r="AD30" s="30">
        <f>ROUND(IF(AQ30="7",BH30,0),2)</f>
        <v>0</v>
      </c>
      <c r="AE30" s="30">
        <f>ROUND(IF(AQ30="7",BI30,0),2)</f>
        <v>0</v>
      </c>
      <c r="AF30" s="30">
        <f>ROUND(IF(AQ30="2",BH30,0),2)</f>
        <v>0</v>
      </c>
      <c r="AG30" s="30">
        <f>ROUND(IF(AQ30="2",BI30,0),2)</f>
        <v>0</v>
      </c>
      <c r="AH30" s="30">
        <f>ROUND(IF(AQ30="0",BJ30,0),2)</f>
        <v>0</v>
      </c>
      <c r="AI30" s="11" t="s">
        <v>48</v>
      </c>
      <c r="AJ30" s="28">
        <f>IF(AN30=0,J30,0)</f>
        <v>0</v>
      </c>
      <c r="AK30" s="28">
        <f>IF(AN30=12,J30,0)</f>
        <v>0</v>
      </c>
      <c r="AL30" s="28">
        <f>IF(AN30=21,J30,0)</f>
        <v>0</v>
      </c>
      <c r="AN30" s="30">
        <v>21</v>
      </c>
      <c r="AO30" s="30">
        <f>G30*0</f>
        <v>0</v>
      </c>
      <c r="AP30" s="30">
        <f>G30*(1-0)</f>
        <v>0</v>
      </c>
      <c r="AQ30" s="31" t="s">
        <v>51</v>
      </c>
      <c r="AV30" s="30">
        <f>ROUND(AW30+AX30,2)</f>
        <v>0</v>
      </c>
      <c r="AW30" s="30">
        <f>ROUND(F30*AO30,2)</f>
        <v>0</v>
      </c>
      <c r="AX30" s="30">
        <f>ROUND(F30*AP30,2)</f>
        <v>0</v>
      </c>
      <c r="AY30" s="32" t="s">
        <v>104</v>
      </c>
      <c r="AZ30" s="32" t="s">
        <v>105</v>
      </c>
      <c r="BA30" s="11" t="s">
        <v>58</v>
      </c>
      <c r="BC30" s="30">
        <f>AW30+AX30</f>
        <v>0</v>
      </c>
      <c r="BD30" s="30">
        <f>G30/(100-BE30)*100</f>
        <v>0</v>
      </c>
      <c r="BE30" s="30">
        <v>0</v>
      </c>
      <c r="BF30" s="30">
        <f>30</f>
        <v>30</v>
      </c>
      <c r="BH30" s="28">
        <f>F30*AO30</f>
        <v>0</v>
      </c>
      <c r="BI30" s="28">
        <f>F30*AP30</f>
        <v>0</v>
      </c>
      <c r="BJ30" s="28">
        <f>F30*G30</f>
        <v>0</v>
      </c>
      <c r="BK30" s="28"/>
      <c r="BL30" s="30">
        <v>94</v>
      </c>
      <c r="BW30" s="30">
        <v>21</v>
      </c>
      <c r="BX30" s="27" t="s">
        <v>111</v>
      </c>
    </row>
    <row r="31" spans="1:76" x14ac:dyDescent="0.25">
      <c r="A31" s="33" t="s">
        <v>48</v>
      </c>
      <c r="B31" s="34" t="s">
        <v>112</v>
      </c>
      <c r="C31" s="139" t="s">
        <v>113</v>
      </c>
      <c r="D31" s="140"/>
      <c r="E31" s="35" t="s">
        <v>3</v>
      </c>
      <c r="F31" s="35" t="s">
        <v>3</v>
      </c>
      <c r="G31" s="35" t="s">
        <v>3</v>
      </c>
      <c r="H31" s="1">
        <f>SUM(H32:H32)</f>
        <v>0</v>
      </c>
      <c r="I31" s="1">
        <f>SUM(I32:I32)</f>
        <v>0</v>
      </c>
      <c r="J31" s="1">
        <f>SUM(J32:J32)</f>
        <v>0</v>
      </c>
      <c r="K31" s="36" t="s">
        <v>48</v>
      </c>
      <c r="AI31" s="11" t="s">
        <v>48</v>
      </c>
      <c r="AS31" s="1">
        <f>SUM(AJ32:AJ32)</f>
        <v>0</v>
      </c>
      <c r="AT31" s="1">
        <f>SUM(AK32:AK32)</f>
        <v>0</v>
      </c>
      <c r="AU31" s="1">
        <f>SUM(AL32:AL32)</f>
        <v>0</v>
      </c>
    </row>
    <row r="32" spans="1:76" x14ac:dyDescent="0.25">
      <c r="A32" s="25" t="s">
        <v>114</v>
      </c>
      <c r="B32" s="26" t="s">
        <v>115</v>
      </c>
      <c r="C32" s="137" t="s">
        <v>116</v>
      </c>
      <c r="D32" s="138"/>
      <c r="E32" s="26" t="s">
        <v>117</v>
      </c>
      <c r="F32" s="28">
        <v>1</v>
      </c>
      <c r="G32" s="28">
        <v>0</v>
      </c>
      <c r="H32" s="28">
        <f>ROUND(F32*AO32,2)</f>
        <v>0</v>
      </c>
      <c r="I32" s="28">
        <f>ROUND(F32*AP32,2)</f>
        <v>0</v>
      </c>
      <c r="J32" s="28">
        <f>ROUND(F32*G32,2)</f>
        <v>0</v>
      </c>
      <c r="K32" s="29" t="s">
        <v>48</v>
      </c>
      <c r="Z32" s="30">
        <f>ROUND(IF(AQ32="5",BJ32,0),2)</f>
        <v>0</v>
      </c>
      <c r="AB32" s="30">
        <f>ROUND(IF(AQ32="1",BH32,0),2)</f>
        <v>0</v>
      </c>
      <c r="AC32" s="30">
        <f>ROUND(IF(AQ32="1",BI32,0),2)</f>
        <v>0</v>
      </c>
      <c r="AD32" s="30">
        <f>ROUND(IF(AQ32="7",BH32,0),2)</f>
        <v>0</v>
      </c>
      <c r="AE32" s="30">
        <f>ROUND(IF(AQ32="7",BI32,0),2)</f>
        <v>0</v>
      </c>
      <c r="AF32" s="30">
        <f>ROUND(IF(AQ32="2",BH32,0),2)</f>
        <v>0</v>
      </c>
      <c r="AG32" s="30">
        <f>ROUND(IF(AQ32="2",BI32,0),2)</f>
        <v>0</v>
      </c>
      <c r="AH32" s="30">
        <f>ROUND(IF(AQ32="0",BJ32,0),2)</f>
        <v>0</v>
      </c>
      <c r="AI32" s="11" t="s">
        <v>48</v>
      </c>
      <c r="AJ32" s="28">
        <f>IF(AN32=0,J32,0)</f>
        <v>0</v>
      </c>
      <c r="AK32" s="28">
        <f>IF(AN32=12,J32,0)</f>
        <v>0</v>
      </c>
      <c r="AL32" s="28">
        <f>IF(AN32=21,J32,0)</f>
        <v>0</v>
      </c>
      <c r="AN32" s="30">
        <v>21</v>
      </c>
      <c r="AO32" s="30">
        <f>G32*0</f>
        <v>0</v>
      </c>
      <c r="AP32" s="30">
        <f>G32*(1-0)</f>
        <v>0</v>
      </c>
      <c r="AQ32" s="31" t="s">
        <v>51</v>
      </c>
      <c r="AV32" s="30">
        <f>ROUND(AW32+AX32,2)</f>
        <v>0</v>
      </c>
      <c r="AW32" s="30">
        <f>ROUND(F32*AO32,2)</f>
        <v>0</v>
      </c>
      <c r="AX32" s="30">
        <f>ROUND(F32*AP32,2)</f>
        <v>0</v>
      </c>
      <c r="AY32" s="32" t="s">
        <v>118</v>
      </c>
      <c r="AZ32" s="32" t="s">
        <v>105</v>
      </c>
      <c r="BA32" s="11" t="s">
        <v>58</v>
      </c>
      <c r="BC32" s="30">
        <f>AW32+AX32</f>
        <v>0</v>
      </c>
      <c r="BD32" s="30">
        <f>G32/(100-BE32)*100</f>
        <v>0</v>
      </c>
      <c r="BE32" s="30">
        <v>0</v>
      </c>
      <c r="BF32" s="30">
        <f>32</f>
        <v>32</v>
      </c>
      <c r="BH32" s="28">
        <f>F32*AO32</f>
        <v>0</v>
      </c>
      <c r="BI32" s="28">
        <f>F32*AP32</f>
        <v>0</v>
      </c>
      <c r="BJ32" s="28">
        <f>F32*G32</f>
        <v>0</v>
      </c>
      <c r="BK32" s="28"/>
      <c r="BL32" s="30">
        <v>95</v>
      </c>
      <c r="BW32" s="30">
        <v>21</v>
      </c>
      <c r="BX32" s="27" t="s">
        <v>116</v>
      </c>
    </row>
    <row r="33" spans="1:76" ht="13.5" customHeight="1" x14ac:dyDescent="0.25">
      <c r="A33" s="37"/>
      <c r="B33" s="38" t="s">
        <v>119</v>
      </c>
      <c r="C33" s="141" t="s">
        <v>120</v>
      </c>
      <c r="D33" s="142"/>
      <c r="E33" s="142"/>
      <c r="F33" s="142"/>
      <c r="G33" s="142"/>
      <c r="H33" s="142"/>
      <c r="I33" s="142"/>
      <c r="J33" s="142"/>
      <c r="K33" s="143"/>
    </row>
    <row r="34" spans="1:76" x14ac:dyDescent="0.25">
      <c r="A34" s="33" t="s">
        <v>48</v>
      </c>
      <c r="B34" s="34" t="s">
        <v>121</v>
      </c>
      <c r="C34" s="139" t="s">
        <v>122</v>
      </c>
      <c r="D34" s="140"/>
      <c r="E34" s="35" t="s">
        <v>3</v>
      </c>
      <c r="F34" s="35" t="s">
        <v>3</v>
      </c>
      <c r="G34" s="35" t="s">
        <v>3</v>
      </c>
      <c r="H34" s="1">
        <f>SUM(H35:H38)</f>
        <v>0</v>
      </c>
      <c r="I34" s="1">
        <f>SUM(I35:I38)</f>
        <v>0</v>
      </c>
      <c r="J34" s="1">
        <f>SUM(J35:J38)</f>
        <v>0</v>
      </c>
      <c r="K34" s="36" t="s">
        <v>48</v>
      </c>
      <c r="AI34" s="11" t="s">
        <v>48</v>
      </c>
      <c r="AS34" s="1">
        <f>SUM(AJ35:AJ38)</f>
        <v>0</v>
      </c>
      <c r="AT34" s="1">
        <f>SUM(AK35:AK38)</f>
        <v>0</v>
      </c>
      <c r="AU34" s="1">
        <f>SUM(AL35:AL38)</f>
        <v>0</v>
      </c>
    </row>
    <row r="35" spans="1:76" x14ac:dyDescent="0.25">
      <c r="A35" s="25" t="s">
        <v>63</v>
      </c>
      <c r="B35" s="26" t="s">
        <v>123</v>
      </c>
      <c r="C35" s="137" t="s">
        <v>124</v>
      </c>
      <c r="D35" s="138"/>
      <c r="E35" s="26" t="s">
        <v>62</v>
      </c>
      <c r="F35" s="28">
        <v>61.237000000000002</v>
      </c>
      <c r="G35" s="28">
        <v>0</v>
      </c>
      <c r="H35" s="28">
        <f>ROUND(F35*AO35,2)</f>
        <v>0</v>
      </c>
      <c r="I35" s="28">
        <f>ROUND(F35*AP35,2)</f>
        <v>0</v>
      </c>
      <c r="J35" s="28">
        <f>ROUND(F35*G35,2)</f>
        <v>0</v>
      </c>
      <c r="K35" s="29" t="s">
        <v>55</v>
      </c>
      <c r="Z35" s="30">
        <f>ROUND(IF(AQ35="5",BJ35,0),2)</f>
        <v>0</v>
      </c>
      <c r="AB35" s="30">
        <f>ROUND(IF(AQ35="1",BH35,0),2)</f>
        <v>0</v>
      </c>
      <c r="AC35" s="30">
        <f>ROUND(IF(AQ35="1",BI35,0),2)</f>
        <v>0</v>
      </c>
      <c r="AD35" s="30">
        <f>ROUND(IF(AQ35="7",BH35,0),2)</f>
        <v>0</v>
      </c>
      <c r="AE35" s="30">
        <f>ROUND(IF(AQ35="7",BI35,0),2)</f>
        <v>0</v>
      </c>
      <c r="AF35" s="30">
        <f>ROUND(IF(AQ35="2",BH35,0),2)</f>
        <v>0</v>
      </c>
      <c r="AG35" s="30">
        <f>ROUND(IF(AQ35="2",BI35,0),2)</f>
        <v>0</v>
      </c>
      <c r="AH35" s="30">
        <f>ROUND(IF(AQ35="0",BJ35,0),2)</f>
        <v>0</v>
      </c>
      <c r="AI35" s="11" t="s">
        <v>48</v>
      </c>
      <c r="AJ35" s="28">
        <f>IF(AN35=0,J35,0)</f>
        <v>0</v>
      </c>
      <c r="AK35" s="28">
        <f>IF(AN35=12,J35,0)</f>
        <v>0</v>
      </c>
      <c r="AL35" s="28">
        <f>IF(AN35=21,J35,0)</f>
        <v>0</v>
      </c>
      <c r="AN35" s="30">
        <v>21</v>
      </c>
      <c r="AO35" s="30">
        <f>G35*0.035279126</f>
        <v>0</v>
      </c>
      <c r="AP35" s="30">
        <f>G35*(1-0.035279126)</f>
        <v>0</v>
      </c>
      <c r="AQ35" s="31" t="s">
        <v>51</v>
      </c>
      <c r="AV35" s="30">
        <f>ROUND(AW35+AX35,2)</f>
        <v>0</v>
      </c>
      <c r="AW35" s="30">
        <f>ROUND(F35*AO35,2)</f>
        <v>0</v>
      </c>
      <c r="AX35" s="30">
        <f>ROUND(F35*AP35,2)</f>
        <v>0</v>
      </c>
      <c r="AY35" s="32" t="s">
        <v>125</v>
      </c>
      <c r="AZ35" s="32" t="s">
        <v>105</v>
      </c>
      <c r="BA35" s="11" t="s">
        <v>58</v>
      </c>
      <c r="BC35" s="30">
        <f>AW35+AX35</f>
        <v>0</v>
      </c>
      <c r="BD35" s="30">
        <f>G35/(100-BE35)*100</f>
        <v>0</v>
      </c>
      <c r="BE35" s="30">
        <v>0</v>
      </c>
      <c r="BF35" s="30">
        <f>35</f>
        <v>35</v>
      </c>
      <c r="BH35" s="28">
        <f>F35*AO35</f>
        <v>0</v>
      </c>
      <c r="BI35" s="28">
        <f>F35*AP35</f>
        <v>0</v>
      </c>
      <c r="BJ35" s="28">
        <f>F35*G35</f>
        <v>0</v>
      </c>
      <c r="BK35" s="28"/>
      <c r="BL35" s="30">
        <v>96</v>
      </c>
      <c r="BW35" s="30">
        <v>21</v>
      </c>
      <c r="BX35" s="27" t="s">
        <v>124</v>
      </c>
    </row>
    <row r="36" spans="1:76" x14ac:dyDescent="0.25">
      <c r="A36" s="25" t="s">
        <v>126</v>
      </c>
      <c r="B36" s="26" t="s">
        <v>127</v>
      </c>
      <c r="C36" s="137" t="s">
        <v>128</v>
      </c>
      <c r="D36" s="138"/>
      <c r="E36" s="26" t="s">
        <v>62</v>
      </c>
      <c r="F36" s="28">
        <v>98.117999999999995</v>
      </c>
      <c r="G36" s="28">
        <v>0</v>
      </c>
      <c r="H36" s="28">
        <f>ROUND(F36*AO36,2)</f>
        <v>0</v>
      </c>
      <c r="I36" s="28">
        <f>ROUND(F36*AP36,2)</f>
        <v>0</v>
      </c>
      <c r="J36" s="28">
        <f>ROUND(F36*G36,2)</f>
        <v>0</v>
      </c>
      <c r="K36" s="29" t="s">
        <v>55</v>
      </c>
      <c r="Z36" s="30">
        <f>ROUND(IF(AQ36="5",BJ36,0),2)</f>
        <v>0</v>
      </c>
      <c r="AB36" s="30">
        <f>ROUND(IF(AQ36="1",BH36,0),2)</f>
        <v>0</v>
      </c>
      <c r="AC36" s="30">
        <f>ROUND(IF(AQ36="1",BI36,0),2)</f>
        <v>0</v>
      </c>
      <c r="AD36" s="30">
        <f>ROUND(IF(AQ36="7",BH36,0),2)</f>
        <v>0</v>
      </c>
      <c r="AE36" s="30">
        <f>ROUND(IF(AQ36="7",BI36,0),2)</f>
        <v>0</v>
      </c>
      <c r="AF36" s="30">
        <f>ROUND(IF(AQ36="2",BH36,0),2)</f>
        <v>0</v>
      </c>
      <c r="AG36" s="30">
        <f>ROUND(IF(AQ36="2",BI36,0),2)</f>
        <v>0</v>
      </c>
      <c r="AH36" s="30">
        <f>ROUND(IF(AQ36="0",BJ36,0),2)</f>
        <v>0</v>
      </c>
      <c r="AI36" s="11" t="s">
        <v>48</v>
      </c>
      <c r="AJ36" s="28">
        <f>IF(AN36=0,J36,0)</f>
        <v>0</v>
      </c>
      <c r="AK36" s="28">
        <f>IF(AN36=12,J36,0)</f>
        <v>0</v>
      </c>
      <c r="AL36" s="28">
        <f>IF(AN36=21,J36,0)</f>
        <v>0</v>
      </c>
      <c r="AN36" s="30">
        <v>21</v>
      </c>
      <c r="AO36" s="30">
        <f>G36*0</f>
        <v>0</v>
      </c>
      <c r="AP36" s="30">
        <f>G36*(1-0)</f>
        <v>0</v>
      </c>
      <c r="AQ36" s="31" t="s">
        <v>51</v>
      </c>
      <c r="AV36" s="30">
        <f>ROUND(AW36+AX36,2)</f>
        <v>0</v>
      </c>
      <c r="AW36" s="30">
        <f>ROUND(F36*AO36,2)</f>
        <v>0</v>
      </c>
      <c r="AX36" s="30">
        <f>ROUND(F36*AP36,2)</f>
        <v>0</v>
      </c>
      <c r="AY36" s="32" t="s">
        <v>125</v>
      </c>
      <c r="AZ36" s="32" t="s">
        <v>105</v>
      </c>
      <c r="BA36" s="11" t="s">
        <v>58</v>
      </c>
      <c r="BC36" s="30">
        <f>AW36+AX36</f>
        <v>0</v>
      </c>
      <c r="BD36" s="30">
        <f>G36/(100-BE36)*100</f>
        <v>0</v>
      </c>
      <c r="BE36" s="30">
        <v>0</v>
      </c>
      <c r="BF36" s="30">
        <f>36</f>
        <v>36</v>
      </c>
      <c r="BH36" s="28">
        <f>F36*AO36</f>
        <v>0</v>
      </c>
      <c r="BI36" s="28">
        <f>F36*AP36</f>
        <v>0</v>
      </c>
      <c r="BJ36" s="28">
        <f>F36*G36</f>
        <v>0</v>
      </c>
      <c r="BK36" s="28"/>
      <c r="BL36" s="30">
        <v>96</v>
      </c>
      <c r="BW36" s="30">
        <v>21</v>
      </c>
      <c r="BX36" s="27" t="s">
        <v>128</v>
      </c>
    </row>
    <row r="37" spans="1:76" ht="13.5" customHeight="1" x14ac:dyDescent="0.25">
      <c r="A37" s="37"/>
      <c r="B37" s="38" t="s">
        <v>119</v>
      </c>
      <c r="C37" s="141" t="s">
        <v>129</v>
      </c>
      <c r="D37" s="142"/>
      <c r="E37" s="142"/>
      <c r="F37" s="142"/>
      <c r="G37" s="142"/>
      <c r="H37" s="142"/>
      <c r="I37" s="142"/>
      <c r="J37" s="142"/>
      <c r="K37" s="143"/>
    </row>
    <row r="38" spans="1:76" x14ac:dyDescent="0.25">
      <c r="A38" s="25" t="s">
        <v>77</v>
      </c>
      <c r="B38" s="26" t="s">
        <v>130</v>
      </c>
      <c r="C38" s="137" t="s">
        <v>131</v>
      </c>
      <c r="D38" s="138"/>
      <c r="E38" s="26" t="s">
        <v>62</v>
      </c>
      <c r="F38" s="28">
        <v>98.117999999999995</v>
      </c>
      <c r="G38" s="28">
        <v>0</v>
      </c>
      <c r="H38" s="28">
        <f>ROUND(F38*AO38,2)</f>
        <v>0</v>
      </c>
      <c r="I38" s="28">
        <f>ROUND(F38*AP38,2)</f>
        <v>0</v>
      </c>
      <c r="J38" s="28">
        <f>ROUND(F38*G38,2)</f>
        <v>0</v>
      </c>
      <c r="K38" s="29" t="s">
        <v>55</v>
      </c>
      <c r="Z38" s="30">
        <f>ROUND(IF(AQ38="5",BJ38,0),2)</f>
        <v>0</v>
      </c>
      <c r="AB38" s="30">
        <f>ROUND(IF(AQ38="1",BH38,0),2)</f>
        <v>0</v>
      </c>
      <c r="AC38" s="30">
        <f>ROUND(IF(AQ38="1",BI38,0),2)</f>
        <v>0</v>
      </c>
      <c r="AD38" s="30">
        <f>ROUND(IF(AQ38="7",BH38,0),2)</f>
        <v>0</v>
      </c>
      <c r="AE38" s="30">
        <f>ROUND(IF(AQ38="7",BI38,0),2)</f>
        <v>0</v>
      </c>
      <c r="AF38" s="30">
        <f>ROUND(IF(AQ38="2",BH38,0),2)</f>
        <v>0</v>
      </c>
      <c r="AG38" s="30">
        <f>ROUND(IF(AQ38="2",BI38,0),2)</f>
        <v>0</v>
      </c>
      <c r="AH38" s="30">
        <f>ROUND(IF(AQ38="0",BJ38,0),2)</f>
        <v>0</v>
      </c>
      <c r="AI38" s="11" t="s">
        <v>48</v>
      </c>
      <c r="AJ38" s="28">
        <f>IF(AN38=0,J38,0)</f>
        <v>0</v>
      </c>
      <c r="AK38" s="28">
        <f>IF(AN38=12,J38,0)</f>
        <v>0</v>
      </c>
      <c r="AL38" s="28">
        <f>IF(AN38=21,J38,0)</f>
        <v>0</v>
      </c>
      <c r="AN38" s="30">
        <v>21</v>
      </c>
      <c r="AO38" s="30">
        <f>G38*0</f>
        <v>0</v>
      </c>
      <c r="AP38" s="30">
        <f>G38*(1-0)</f>
        <v>0</v>
      </c>
      <c r="AQ38" s="31" t="s">
        <v>51</v>
      </c>
      <c r="AV38" s="30">
        <f>ROUND(AW38+AX38,2)</f>
        <v>0</v>
      </c>
      <c r="AW38" s="30">
        <f>ROUND(F38*AO38,2)</f>
        <v>0</v>
      </c>
      <c r="AX38" s="30">
        <f>ROUND(F38*AP38,2)</f>
        <v>0</v>
      </c>
      <c r="AY38" s="32" t="s">
        <v>125</v>
      </c>
      <c r="AZ38" s="32" t="s">
        <v>105</v>
      </c>
      <c r="BA38" s="11" t="s">
        <v>58</v>
      </c>
      <c r="BC38" s="30">
        <f>AW38+AX38</f>
        <v>0</v>
      </c>
      <c r="BD38" s="30">
        <f>G38/(100-BE38)*100</f>
        <v>0</v>
      </c>
      <c r="BE38" s="30">
        <v>0</v>
      </c>
      <c r="BF38" s="30">
        <f>38</f>
        <v>38</v>
      </c>
      <c r="BH38" s="28">
        <f>F38*AO38</f>
        <v>0</v>
      </c>
      <c r="BI38" s="28">
        <f>F38*AP38</f>
        <v>0</v>
      </c>
      <c r="BJ38" s="28">
        <f>F38*G38</f>
        <v>0</v>
      </c>
      <c r="BK38" s="28"/>
      <c r="BL38" s="30">
        <v>96</v>
      </c>
      <c r="BW38" s="30">
        <v>21</v>
      </c>
      <c r="BX38" s="27" t="s">
        <v>131</v>
      </c>
    </row>
    <row r="39" spans="1:76" ht="13.5" customHeight="1" x14ac:dyDescent="0.25">
      <c r="A39" s="37"/>
      <c r="B39" s="38" t="s">
        <v>119</v>
      </c>
      <c r="C39" s="141" t="s">
        <v>132</v>
      </c>
      <c r="D39" s="142"/>
      <c r="E39" s="142"/>
      <c r="F39" s="142"/>
      <c r="G39" s="142"/>
      <c r="H39" s="142"/>
      <c r="I39" s="142"/>
      <c r="J39" s="142"/>
      <c r="K39" s="143"/>
    </row>
    <row r="40" spans="1:76" x14ac:dyDescent="0.25">
      <c r="A40" s="33" t="s">
        <v>48</v>
      </c>
      <c r="B40" s="34" t="s">
        <v>133</v>
      </c>
      <c r="C40" s="139" t="s">
        <v>134</v>
      </c>
      <c r="D40" s="140"/>
      <c r="E40" s="35" t="s">
        <v>3</v>
      </c>
      <c r="F40" s="35" t="s">
        <v>3</v>
      </c>
      <c r="G40" s="35" t="s">
        <v>3</v>
      </c>
      <c r="H40" s="1">
        <f>SUM(H41:H45)</f>
        <v>0</v>
      </c>
      <c r="I40" s="1">
        <f>SUM(I41:I45)</f>
        <v>0</v>
      </c>
      <c r="J40" s="1">
        <f>SUM(J41:J45)</f>
        <v>0</v>
      </c>
      <c r="K40" s="36" t="s">
        <v>48</v>
      </c>
      <c r="AI40" s="11" t="s">
        <v>48</v>
      </c>
      <c r="AS40" s="1">
        <f>SUM(AJ41:AJ45)</f>
        <v>0</v>
      </c>
      <c r="AT40" s="1">
        <f>SUM(AK41:AK45)</f>
        <v>0</v>
      </c>
      <c r="AU40" s="1">
        <f>SUM(AL41:AL45)</f>
        <v>0</v>
      </c>
    </row>
    <row r="41" spans="1:76" x14ac:dyDescent="0.25">
      <c r="A41" s="25" t="s">
        <v>135</v>
      </c>
      <c r="B41" s="26" t="s">
        <v>136</v>
      </c>
      <c r="C41" s="137" t="s">
        <v>137</v>
      </c>
      <c r="D41" s="138"/>
      <c r="E41" s="26" t="s">
        <v>98</v>
      </c>
      <c r="F41" s="28">
        <v>399.1096</v>
      </c>
      <c r="G41" s="28">
        <v>0</v>
      </c>
      <c r="H41" s="28">
        <f>ROUND(F41*AO41,2)</f>
        <v>0</v>
      </c>
      <c r="I41" s="28">
        <f>ROUND(F41*AP41,2)</f>
        <v>0</v>
      </c>
      <c r="J41" s="28">
        <f>ROUND(F41*G41,2)</f>
        <v>0</v>
      </c>
      <c r="K41" s="29" t="s">
        <v>55</v>
      </c>
      <c r="Z41" s="30">
        <f>ROUND(IF(AQ41="5",BJ41,0),2)</f>
        <v>0</v>
      </c>
      <c r="AB41" s="30">
        <f>ROUND(IF(AQ41="1",BH41,0),2)</f>
        <v>0</v>
      </c>
      <c r="AC41" s="30">
        <f>ROUND(IF(AQ41="1",BI41,0),2)</f>
        <v>0</v>
      </c>
      <c r="AD41" s="30">
        <f>ROUND(IF(AQ41="7",BH41,0),2)</f>
        <v>0</v>
      </c>
      <c r="AE41" s="30">
        <f>ROUND(IF(AQ41="7",BI41,0),2)</f>
        <v>0</v>
      </c>
      <c r="AF41" s="30">
        <f>ROUND(IF(AQ41="2",BH41,0),2)</f>
        <v>0</v>
      </c>
      <c r="AG41" s="30">
        <f>ROUND(IF(AQ41="2",BI41,0),2)</f>
        <v>0</v>
      </c>
      <c r="AH41" s="30">
        <f>ROUND(IF(AQ41="0",BJ41,0),2)</f>
        <v>0</v>
      </c>
      <c r="AI41" s="11" t="s">
        <v>48</v>
      </c>
      <c r="AJ41" s="28">
        <f>IF(AN41=0,J41,0)</f>
        <v>0</v>
      </c>
      <c r="AK41" s="28">
        <f>IF(AN41=12,J41,0)</f>
        <v>0</v>
      </c>
      <c r="AL41" s="28">
        <f>IF(AN41=21,J41,0)</f>
        <v>0</v>
      </c>
      <c r="AN41" s="30">
        <v>21</v>
      </c>
      <c r="AO41" s="30">
        <f>G41*0</f>
        <v>0</v>
      </c>
      <c r="AP41" s="30">
        <f>G41*(1-0)</f>
        <v>0</v>
      </c>
      <c r="AQ41" s="31" t="s">
        <v>74</v>
      </c>
      <c r="AV41" s="30">
        <f>ROUND(AW41+AX41,2)</f>
        <v>0</v>
      </c>
      <c r="AW41" s="30">
        <f>ROUND(F41*AO41,2)</f>
        <v>0</v>
      </c>
      <c r="AX41" s="30">
        <f>ROUND(F41*AP41,2)</f>
        <v>0</v>
      </c>
      <c r="AY41" s="32" t="s">
        <v>138</v>
      </c>
      <c r="AZ41" s="32" t="s">
        <v>105</v>
      </c>
      <c r="BA41" s="11" t="s">
        <v>58</v>
      </c>
      <c r="BC41" s="30">
        <f>AW41+AX41</f>
        <v>0</v>
      </c>
      <c r="BD41" s="30">
        <f>G41/(100-BE41)*100</f>
        <v>0</v>
      </c>
      <c r="BE41" s="30">
        <v>0</v>
      </c>
      <c r="BF41" s="30">
        <f>41</f>
        <v>41</v>
      </c>
      <c r="BH41" s="28">
        <f>F41*AO41</f>
        <v>0</v>
      </c>
      <c r="BI41" s="28">
        <f>F41*AP41</f>
        <v>0</v>
      </c>
      <c r="BJ41" s="28">
        <f>F41*G41</f>
        <v>0</v>
      </c>
      <c r="BK41" s="28"/>
      <c r="BL41" s="30"/>
      <c r="BW41" s="30">
        <v>21</v>
      </c>
      <c r="BX41" s="27" t="s">
        <v>137</v>
      </c>
    </row>
    <row r="42" spans="1:76" x14ac:dyDescent="0.25">
      <c r="A42" s="25" t="s">
        <v>139</v>
      </c>
      <c r="B42" s="26" t="s">
        <v>140</v>
      </c>
      <c r="C42" s="137" t="s">
        <v>141</v>
      </c>
      <c r="D42" s="138"/>
      <c r="E42" s="26" t="s">
        <v>98</v>
      </c>
      <c r="F42" s="28">
        <v>7982.192</v>
      </c>
      <c r="G42" s="28">
        <v>0</v>
      </c>
      <c r="H42" s="28">
        <f>ROUND(F42*AO42,2)</f>
        <v>0</v>
      </c>
      <c r="I42" s="28">
        <f>ROUND(F42*AP42,2)</f>
        <v>0</v>
      </c>
      <c r="J42" s="28">
        <f>ROUND(F42*G42,2)</f>
        <v>0</v>
      </c>
      <c r="K42" s="29" t="s">
        <v>55</v>
      </c>
      <c r="Z42" s="30">
        <f>ROUND(IF(AQ42="5",BJ42,0),2)</f>
        <v>0</v>
      </c>
      <c r="AB42" s="30">
        <f>ROUND(IF(AQ42="1",BH42,0),2)</f>
        <v>0</v>
      </c>
      <c r="AC42" s="30">
        <f>ROUND(IF(AQ42="1",BI42,0),2)</f>
        <v>0</v>
      </c>
      <c r="AD42" s="30">
        <f>ROUND(IF(AQ42="7",BH42,0),2)</f>
        <v>0</v>
      </c>
      <c r="AE42" s="30">
        <f>ROUND(IF(AQ42="7",BI42,0),2)</f>
        <v>0</v>
      </c>
      <c r="AF42" s="30">
        <f>ROUND(IF(AQ42="2",BH42,0),2)</f>
        <v>0</v>
      </c>
      <c r="AG42" s="30">
        <f>ROUND(IF(AQ42="2",BI42,0),2)</f>
        <v>0</v>
      </c>
      <c r="AH42" s="30">
        <f>ROUND(IF(AQ42="0",BJ42,0),2)</f>
        <v>0</v>
      </c>
      <c r="AI42" s="11" t="s">
        <v>48</v>
      </c>
      <c r="AJ42" s="28">
        <f>IF(AN42=0,J42,0)</f>
        <v>0</v>
      </c>
      <c r="AK42" s="28">
        <f>IF(AN42=12,J42,0)</f>
        <v>0</v>
      </c>
      <c r="AL42" s="28">
        <f>IF(AN42=21,J42,0)</f>
        <v>0</v>
      </c>
      <c r="AN42" s="30">
        <v>21</v>
      </c>
      <c r="AO42" s="30">
        <f>G42*0</f>
        <v>0</v>
      </c>
      <c r="AP42" s="30">
        <f>G42*(1-0)</f>
        <v>0</v>
      </c>
      <c r="AQ42" s="31" t="s">
        <v>74</v>
      </c>
      <c r="AV42" s="30">
        <f>ROUND(AW42+AX42,2)</f>
        <v>0</v>
      </c>
      <c r="AW42" s="30">
        <f>ROUND(F42*AO42,2)</f>
        <v>0</v>
      </c>
      <c r="AX42" s="30">
        <f>ROUND(F42*AP42,2)</f>
        <v>0</v>
      </c>
      <c r="AY42" s="32" t="s">
        <v>138</v>
      </c>
      <c r="AZ42" s="32" t="s">
        <v>105</v>
      </c>
      <c r="BA42" s="11" t="s">
        <v>58</v>
      </c>
      <c r="BC42" s="30">
        <f>AW42+AX42</f>
        <v>0</v>
      </c>
      <c r="BD42" s="30">
        <f>G42/(100-BE42)*100</f>
        <v>0</v>
      </c>
      <c r="BE42" s="30">
        <v>0</v>
      </c>
      <c r="BF42" s="30">
        <f>42</f>
        <v>42</v>
      </c>
      <c r="BH42" s="28">
        <f>F42*AO42</f>
        <v>0</v>
      </c>
      <c r="BI42" s="28">
        <f>F42*AP42</f>
        <v>0</v>
      </c>
      <c r="BJ42" s="28">
        <f>F42*G42</f>
        <v>0</v>
      </c>
      <c r="BK42" s="28"/>
      <c r="BL42" s="30"/>
      <c r="BW42" s="30">
        <v>21</v>
      </c>
      <c r="BX42" s="27" t="s">
        <v>141</v>
      </c>
    </row>
    <row r="43" spans="1:76" ht="14.25" customHeight="1" x14ac:dyDescent="0.25">
      <c r="A43" s="25" t="s">
        <v>142</v>
      </c>
      <c r="B43" s="26" t="s">
        <v>143</v>
      </c>
      <c r="C43" s="137" t="s">
        <v>144</v>
      </c>
      <c r="D43" s="138"/>
      <c r="E43" s="26" t="s">
        <v>98</v>
      </c>
      <c r="F43" s="28">
        <v>399.1096</v>
      </c>
      <c r="G43" s="28">
        <v>0</v>
      </c>
      <c r="H43" s="28">
        <f>ROUND(F43*AO43,2)</f>
        <v>0</v>
      </c>
      <c r="I43" s="28">
        <f>ROUND(F43*AP43,2)</f>
        <v>0</v>
      </c>
      <c r="J43" s="28">
        <f>ROUND(F43*G43,2)</f>
        <v>0</v>
      </c>
      <c r="K43" s="29" t="s">
        <v>55</v>
      </c>
      <c r="Z43" s="30">
        <f>ROUND(IF(AQ43="5",BJ43,0),2)</f>
        <v>0</v>
      </c>
      <c r="AB43" s="30">
        <f>ROUND(IF(AQ43="1",BH43,0),2)</f>
        <v>0</v>
      </c>
      <c r="AC43" s="30">
        <f>ROUND(IF(AQ43="1",BI43,0),2)</f>
        <v>0</v>
      </c>
      <c r="AD43" s="30">
        <f>ROUND(IF(AQ43="7",BH43,0),2)</f>
        <v>0</v>
      </c>
      <c r="AE43" s="30">
        <f>ROUND(IF(AQ43="7",BI43,0),2)</f>
        <v>0</v>
      </c>
      <c r="AF43" s="30">
        <f>ROUND(IF(AQ43="2",BH43,0),2)</f>
        <v>0</v>
      </c>
      <c r="AG43" s="30">
        <f>ROUND(IF(AQ43="2",BI43,0),2)</f>
        <v>0</v>
      </c>
      <c r="AH43" s="30">
        <f>ROUND(IF(AQ43="0",BJ43,0),2)</f>
        <v>0</v>
      </c>
      <c r="AI43" s="11" t="s">
        <v>48</v>
      </c>
      <c r="AJ43" s="28">
        <f>IF(AN43=0,J43,0)</f>
        <v>0</v>
      </c>
      <c r="AK43" s="28">
        <f>IF(AN43=12,J43,0)</f>
        <v>0</v>
      </c>
      <c r="AL43" s="28">
        <f>IF(AN43=21,J43,0)</f>
        <v>0</v>
      </c>
      <c r="AN43" s="30">
        <v>21</v>
      </c>
      <c r="AO43" s="30">
        <f>G43*0</f>
        <v>0</v>
      </c>
      <c r="AP43" s="30">
        <f>G43*(1-0)</f>
        <v>0</v>
      </c>
      <c r="AQ43" s="31" t="s">
        <v>74</v>
      </c>
      <c r="AV43" s="30">
        <f>ROUND(AW43+AX43,2)</f>
        <v>0</v>
      </c>
      <c r="AW43" s="30">
        <f>ROUND(F43*AO43,2)</f>
        <v>0</v>
      </c>
      <c r="AX43" s="30">
        <f>ROUND(F43*AP43,2)</f>
        <v>0</v>
      </c>
      <c r="AY43" s="32" t="s">
        <v>138</v>
      </c>
      <c r="AZ43" s="32" t="s">
        <v>105</v>
      </c>
      <c r="BA43" s="11" t="s">
        <v>58</v>
      </c>
      <c r="BC43" s="30">
        <f>AW43+AX43</f>
        <v>0</v>
      </c>
      <c r="BD43" s="30">
        <f>G43/(100-BE43)*100</f>
        <v>0</v>
      </c>
      <c r="BE43" s="30">
        <v>0</v>
      </c>
      <c r="BF43" s="30">
        <f>43</f>
        <v>43</v>
      </c>
      <c r="BH43" s="28">
        <f>F43*AO43</f>
        <v>0</v>
      </c>
      <c r="BI43" s="28">
        <f>F43*AP43</f>
        <v>0</v>
      </c>
      <c r="BJ43" s="28">
        <f>F43*G43</f>
        <v>0</v>
      </c>
      <c r="BK43" s="28"/>
      <c r="BL43" s="30"/>
      <c r="BW43" s="30">
        <v>21</v>
      </c>
      <c r="BX43" s="27" t="s">
        <v>144</v>
      </c>
    </row>
    <row r="44" spans="1:76" ht="13.5" customHeight="1" x14ac:dyDescent="0.25">
      <c r="A44" s="25" t="s">
        <v>145</v>
      </c>
      <c r="B44" s="26" t="s">
        <v>146</v>
      </c>
      <c r="C44" s="137" t="s">
        <v>147</v>
      </c>
      <c r="D44" s="138"/>
      <c r="E44" s="26" t="s">
        <v>98</v>
      </c>
      <c r="F44" s="28">
        <v>65.194999999999993</v>
      </c>
      <c r="G44" s="28">
        <v>0</v>
      </c>
      <c r="H44" s="28">
        <f>ROUND(F44*AO44,2)</f>
        <v>0</v>
      </c>
      <c r="I44" s="28">
        <f>ROUND(F44*AP44,2)</f>
        <v>0</v>
      </c>
      <c r="J44" s="28">
        <f>ROUND(F44*G44,2)</f>
        <v>0</v>
      </c>
      <c r="K44" s="29" t="s">
        <v>55</v>
      </c>
      <c r="Z44" s="30">
        <f>ROUND(IF(AQ44="5",BJ44,0),2)</f>
        <v>0</v>
      </c>
      <c r="AB44" s="30">
        <f>ROUND(IF(AQ44="1",BH44,0),2)</f>
        <v>0</v>
      </c>
      <c r="AC44" s="30">
        <f>ROUND(IF(AQ44="1",BI44,0),2)</f>
        <v>0</v>
      </c>
      <c r="AD44" s="30">
        <f>ROUND(IF(AQ44="7",BH44,0),2)</f>
        <v>0</v>
      </c>
      <c r="AE44" s="30">
        <f>ROUND(IF(AQ44="7",BI44,0),2)</f>
        <v>0</v>
      </c>
      <c r="AF44" s="30">
        <f>ROUND(IF(AQ44="2",BH44,0),2)</f>
        <v>0</v>
      </c>
      <c r="AG44" s="30">
        <f>ROUND(IF(AQ44="2",BI44,0),2)</f>
        <v>0</v>
      </c>
      <c r="AH44" s="30">
        <f>ROUND(IF(AQ44="0",BJ44,0),2)</f>
        <v>0</v>
      </c>
      <c r="AI44" s="11" t="s">
        <v>48</v>
      </c>
      <c r="AJ44" s="28">
        <f>IF(AN44=0,J44,0)</f>
        <v>0</v>
      </c>
      <c r="AK44" s="28">
        <f>IF(AN44=12,J44,0)</f>
        <v>0</v>
      </c>
      <c r="AL44" s="28">
        <f>IF(AN44=21,J44,0)</f>
        <v>0</v>
      </c>
      <c r="AN44" s="30">
        <v>21</v>
      </c>
      <c r="AO44" s="30">
        <f>G44*0</f>
        <v>0</v>
      </c>
      <c r="AP44" s="30">
        <f>G44*(1-0)</f>
        <v>0</v>
      </c>
      <c r="AQ44" s="31" t="s">
        <v>74</v>
      </c>
      <c r="AV44" s="30">
        <f>ROUND(AW44+AX44,2)</f>
        <v>0</v>
      </c>
      <c r="AW44" s="30">
        <f>ROUND(F44*AO44,2)</f>
        <v>0</v>
      </c>
      <c r="AX44" s="30">
        <f>ROUND(F44*AP44,2)</f>
        <v>0</v>
      </c>
      <c r="AY44" s="32" t="s">
        <v>138</v>
      </c>
      <c r="AZ44" s="32" t="s">
        <v>105</v>
      </c>
      <c r="BA44" s="11" t="s">
        <v>58</v>
      </c>
      <c r="BC44" s="30">
        <f>AW44+AX44</f>
        <v>0</v>
      </c>
      <c r="BD44" s="30">
        <f>G44/(100-BE44)*100</f>
        <v>0</v>
      </c>
      <c r="BE44" s="30">
        <v>0</v>
      </c>
      <c r="BF44" s="30">
        <f>46</f>
        <v>46</v>
      </c>
      <c r="BH44" s="28">
        <f>F44*AO44</f>
        <v>0</v>
      </c>
      <c r="BI44" s="28">
        <f>F44*AP44</f>
        <v>0</v>
      </c>
      <c r="BJ44" s="28">
        <f>F44*G44</f>
        <v>0</v>
      </c>
      <c r="BK44" s="28"/>
      <c r="BL44" s="30"/>
      <c r="BW44" s="30">
        <v>21</v>
      </c>
      <c r="BX44" s="27" t="s">
        <v>147</v>
      </c>
    </row>
    <row r="45" spans="1:76" ht="23.25" customHeight="1" x14ac:dyDescent="0.25">
      <c r="A45" s="40" t="s">
        <v>148</v>
      </c>
      <c r="B45" s="41" t="s">
        <v>149</v>
      </c>
      <c r="C45" s="144" t="s">
        <v>150</v>
      </c>
      <c r="D45" s="145"/>
      <c r="E45" s="41" t="s">
        <v>98</v>
      </c>
      <c r="F45" s="42">
        <v>326.16460000000001</v>
      </c>
      <c r="G45" s="42">
        <v>0</v>
      </c>
      <c r="H45" s="42">
        <f>ROUND(F45*AO45,2)</f>
        <v>0</v>
      </c>
      <c r="I45" s="42">
        <f>ROUND(F45*AP45,2)</f>
        <v>0</v>
      </c>
      <c r="J45" s="42">
        <f>ROUND(F45*G45,2)</f>
        <v>0</v>
      </c>
      <c r="K45" s="43" t="s">
        <v>55</v>
      </c>
      <c r="Z45" s="30">
        <f>ROUND(IF(AQ45="5",BJ45,0),2)</f>
        <v>0</v>
      </c>
      <c r="AB45" s="30">
        <f>ROUND(IF(AQ45="1",BH45,0),2)</f>
        <v>0</v>
      </c>
      <c r="AC45" s="30">
        <f>ROUND(IF(AQ45="1",BI45,0),2)</f>
        <v>0</v>
      </c>
      <c r="AD45" s="30">
        <f>ROUND(IF(AQ45="7",BH45,0),2)</f>
        <v>0</v>
      </c>
      <c r="AE45" s="30">
        <f>ROUND(IF(AQ45="7",BI45,0),2)</f>
        <v>0</v>
      </c>
      <c r="AF45" s="30">
        <f>ROUND(IF(AQ45="2",BH45,0),2)</f>
        <v>0</v>
      </c>
      <c r="AG45" s="30">
        <f>ROUND(IF(AQ45="2",BI45,0),2)</f>
        <v>0</v>
      </c>
      <c r="AH45" s="30">
        <f>ROUND(IF(AQ45="0",BJ45,0),2)</f>
        <v>0</v>
      </c>
      <c r="AI45" s="11" t="s">
        <v>48</v>
      </c>
      <c r="AJ45" s="28">
        <f>IF(AN45=0,J45,0)</f>
        <v>0</v>
      </c>
      <c r="AK45" s="28">
        <f>IF(AN45=12,J45,0)</f>
        <v>0</v>
      </c>
      <c r="AL45" s="28">
        <f>IF(AN45=21,J45,0)</f>
        <v>0</v>
      </c>
      <c r="AN45" s="30">
        <v>21</v>
      </c>
      <c r="AO45" s="30">
        <f>G45*0</f>
        <v>0</v>
      </c>
      <c r="AP45" s="30">
        <f>G45*(1-0)</f>
        <v>0</v>
      </c>
      <c r="AQ45" s="31" t="s">
        <v>74</v>
      </c>
      <c r="AV45" s="30">
        <f>ROUND(AW45+AX45,2)</f>
        <v>0</v>
      </c>
      <c r="AW45" s="30">
        <f>ROUND(F45*AO45,2)</f>
        <v>0</v>
      </c>
      <c r="AX45" s="30">
        <f>ROUND(F45*AP45,2)</f>
        <v>0</v>
      </c>
      <c r="AY45" s="32" t="s">
        <v>138</v>
      </c>
      <c r="AZ45" s="32" t="s">
        <v>105</v>
      </c>
      <c r="BA45" s="11" t="s">
        <v>58</v>
      </c>
      <c r="BC45" s="30">
        <f>AW45+AX45</f>
        <v>0</v>
      </c>
      <c r="BD45" s="30">
        <f>G45/(100-BE45)*100</f>
        <v>0</v>
      </c>
      <c r="BE45" s="30">
        <v>0</v>
      </c>
      <c r="BF45" s="30">
        <f>47</f>
        <v>47</v>
      </c>
      <c r="BH45" s="28">
        <f>F45*AO45</f>
        <v>0</v>
      </c>
      <c r="BI45" s="28">
        <f>F45*AP45</f>
        <v>0</v>
      </c>
      <c r="BJ45" s="28">
        <f>F45*G45</f>
        <v>0</v>
      </c>
      <c r="BK45" s="28"/>
      <c r="BL45" s="30"/>
      <c r="BW45" s="30">
        <v>21</v>
      </c>
      <c r="BX45" s="27" t="s">
        <v>150</v>
      </c>
    </row>
    <row r="46" spans="1:76" x14ac:dyDescent="0.25">
      <c r="H46" s="146" t="s">
        <v>151</v>
      </c>
      <c r="I46" s="146"/>
      <c r="J46" s="44">
        <f>ROUND(J12+J15+J20+J27+J31+J34+J40,2)</f>
        <v>0</v>
      </c>
    </row>
    <row r="47" spans="1:76" x14ac:dyDescent="0.25">
      <c r="A47" s="45" t="s">
        <v>69</v>
      </c>
    </row>
    <row r="48" spans="1:76" ht="12.75" customHeight="1" x14ac:dyDescent="0.25">
      <c r="A48" s="81" t="s">
        <v>48</v>
      </c>
      <c r="B48" s="78"/>
      <c r="C48" s="78"/>
      <c r="D48" s="78"/>
      <c r="E48" s="78"/>
      <c r="F48" s="78"/>
      <c r="G48" s="78"/>
      <c r="H48" s="78"/>
      <c r="I48" s="78"/>
      <c r="J48" s="78"/>
      <c r="K48" s="78"/>
    </row>
  </sheetData>
  <mergeCells count="64">
    <mergeCell ref="C44:D44"/>
    <mergeCell ref="C45:D45"/>
    <mergeCell ref="H46:I46"/>
    <mergeCell ref="A48:K48"/>
    <mergeCell ref="C40:D40"/>
    <mergeCell ref="C41:D41"/>
    <mergeCell ref="C42:D42"/>
    <mergeCell ref="C43:D43"/>
    <mergeCell ref="C35:D35"/>
    <mergeCell ref="C36:D36"/>
    <mergeCell ref="C37:K37"/>
    <mergeCell ref="C38:D38"/>
    <mergeCell ref="C39:K39"/>
    <mergeCell ref="C30:D30"/>
    <mergeCell ref="C31:D31"/>
    <mergeCell ref="C32:D32"/>
    <mergeCell ref="C33:K33"/>
    <mergeCell ref="C34:D34"/>
    <mergeCell ref="C25:D25"/>
    <mergeCell ref="C26:D26"/>
    <mergeCell ref="C27:D27"/>
    <mergeCell ref="C28:D28"/>
    <mergeCell ref="C29:D29"/>
    <mergeCell ref="C20:D20"/>
    <mergeCell ref="C21:D21"/>
    <mergeCell ref="C22:D22"/>
    <mergeCell ref="C23:D23"/>
    <mergeCell ref="C24:D24"/>
    <mergeCell ref="C15:D15"/>
    <mergeCell ref="C16:D16"/>
    <mergeCell ref="C17:K17"/>
    <mergeCell ref="C18:D18"/>
    <mergeCell ref="C19:D19"/>
    <mergeCell ref="C11:D11"/>
    <mergeCell ref="H10:J10"/>
    <mergeCell ref="C12:D12"/>
    <mergeCell ref="C13:D13"/>
    <mergeCell ref="C14:D14"/>
    <mergeCell ref="I2:K3"/>
    <mergeCell ref="I4:K5"/>
    <mergeCell ref="I6:K7"/>
    <mergeCell ref="I8:K9"/>
    <mergeCell ref="C10:D10"/>
    <mergeCell ref="C8:D9"/>
    <mergeCell ref="G2:G3"/>
    <mergeCell ref="G4:G5"/>
    <mergeCell ref="G6:G7"/>
    <mergeCell ref="G8:G9"/>
    <mergeCell ref="A1:K1"/>
    <mergeCell ref="A2:B3"/>
    <mergeCell ref="A4:B5"/>
    <mergeCell ref="A6:B7"/>
    <mergeCell ref="A8:B9"/>
    <mergeCell ref="E2:F3"/>
    <mergeCell ref="E4:F5"/>
    <mergeCell ref="E6:F7"/>
    <mergeCell ref="E8:F9"/>
    <mergeCell ref="H2:H3"/>
    <mergeCell ref="H4:H5"/>
    <mergeCell ref="H6:H7"/>
    <mergeCell ref="H8:H9"/>
    <mergeCell ref="C2:D3"/>
    <mergeCell ref="C4:D5"/>
    <mergeCell ref="C6:D7"/>
  </mergeCells>
  <pageMargins left="0.393999993801117" right="0.393999993801117" top="0.59100002050399802" bottom="0.59100002050399802" header="0" footer="0"/>
  <pageSetup scale="6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8"/>
  <sheetViews>
    <sheetView workbookViewId="0">
      <pane ySplit="11" topLeftCell="A12" activePane="bottomLeft" state="frozen"/>
      <selection activeCell="K11" sqref="K11"/>
      <selection pane="bottomLeft" activeCell="K11" sqref="K11"/>
    </sheetView>
  </sheetViews>
  <sheetFormatPr defaultColWidth="12.140625" defaultRowHeight="15" customHeight="1" x14ac:dyDescent="0.25"/>
  <cols>
    <col min="1" max="2" width="4.28515625" customWidth="1"/>
    <col min="3" max="3" width="71.42578125" customWidth="1"/>
    <col min="4" max="4" width="12.140625" customWidth="1"/>
    <col min="5" max="7" width="27.85546875" customWidth="1"/>
    <col min="8" max="9" width="0" hidden="1" customWidth="1"/>
  </cols>
  <sheetData>
    <row r="1" spans="1:9" ht="54.75" customHeight="1" x14ac:dyDescent="0.25">
      <c r="A1" s="74" t="s">
        <v>152</v>
      </c>
      <c r="B1" s="74"/>
      <c r="C1" s="74"/>
      <c r="D1" s="74"/>
      <c r="E1" s="74"/>
      <c r="F1" s="74"/>
      <c r="G1" s="74"/>
    </row>
    <row r="2" spans="1:9" x14ac:dyDescent="0.25">
      <c r="A2" s="75" t="s">
        <v>1</v>
      </c>
      <c r="B2" s="76"/>
      <c r="C2" s="85" t="str">
        <f>'Stavební rozpočet'!C2</f>
        <v>Odstranění kovového zásobníku v Selmicích</v>
      </c>
      <c r="D2" s="76" t="s">
        <v>2</v>
      </c>
      <c r="E2" s="76" t="s">
        <v>3</v>
      </c>
      <c r="F2" s="80" t="s">
        <v>4</v>
      </c>
      <c r="G2" s="147" t="str">
        <f>'Stavební rozpočet'!I2</f>
        <v>Národní hřebčín Kladruby nad Labem</v>
      </c>
    </row>
    <row r="3" spans="1:9" ht="15" customHeight="1" x14ac:dyDescent="0.25">
      <c r="A3" s="77"/>
      <c r="B3" s="78"/>
      <c r="C3" s="87"/>
      <c r="D3" s="78"/>
      <c r="E3" s="78"/>
      <c r="F3" s="78"/>
      <c r="G3" s="83"/>
    </row>
    <row r="4" spans="1:9" x14ac:dyDescent="0.25">
      <c r="A4" s="79" t="s">
        <v>6</v>
      </c>
      <c r="B4" s="78"/>
      <c r="C4" s="81" t="str">
        <f>'Stavební rozpočet'!C4</f>
        <v xml:space="preserve"> </v>
      </c>
      <c r="D4" s="78" t="s">
        <v>7</v>
      </c>
      <c r="E4" s="78" t="s">
        <v>8</v>
      </c>
      <c r="F4" s="81" t="s">
        <v>9</v>
      </c>
      <c r="G4" s="89" t="str">
        <f>'Stavební rozpočet'!I4</f>
        <v> </v>
      </c>
    </row>
    <row r="5" spans="1:9" ht="15" customHeight="1" x14ac:dyDescent="0.25">
      <c r="A5" s="77"/>
      <c r="B5" s="78"/>
      <c r="C5" s="78"/>
      <c r="D5" s="78"/>
      <c r="E5" s="78"/>
      <c r="F5" s="78"/>
      <c r="G5" s="83"/>
    </row>
    <row r="6" spans="1:9" x14ac:dyDescent="0.25">
      <c r="A6" s="79" t="s">
        <v>11</v>
      </c>
      <c r="B6" s="78"/>
      <c r="C6" s="81" t="str">
        <f>'Stavební rozpočet'!C6</f>
        <v>k.ú. Selmice, parc.č. 1162</v>
      </c>
      <c r="D6" s="78" t="s">
        <v>13</v>
      </c>
      <c r="E6" s="78" t="s">
        <v>3</v>
      </c>
      <c r="F6" s="81" t="s">
        <v>14</v>
      </c>
      <c r="G6" s="89" t="str">
        <f>'Stavební rozpočet'!I6</f>
        <v>Projektový servis Chrudim s.r.o.</v>
      </c>
    </row>
    <row r="7" spans="1:9" ht="15" customHeight="1" x14ac:dyDescent="0.25">
      <c r="A7" s="77"/>
      <c r="B7" s="78"/>
      <c r="C7" s="78"/>
      <c r="D7" s="78"/>
      <c r="E7" s="78"/>
      <c r="F7" s="78"/>
      <c r="G7" s="83"/>
    </row>
    <row r="8" spans="1:9" x14ac:dyDescent="0.25">
      <c r="A8" s="79" t="s">
        <v>18</v>
      </c>
      <c r="B8" s="78"/>
      <c r="C8" s="81" t="str">
        <f>'Stavební rozpočet'!I8</f>
        <v> </v>
      </c>
      <c r="D8" s="78" t="s">
        <v>17</v>
      </c>
      <c r="E8" s="78"/>
      <c r="F8" s="78" t="s">
        <v>17</v>
      </c>
      <c r="G8" s="89"/>
    </row>
    <row r="9" spans="1:9" x14ac:dyDescent="0.25">
      <c r="A9" s="125"/>
      <c r="B9" s="126"/>
      <c r="C9" s="126"/>
      <c r="D9" s="88"/>
      <c r="E9" s="126"/>
      <c r="F9" s="126"/>
      <c r="G9" s="127"/>
    </row>
    <row r="10" spans="1:9" x14ac:dyDescent="0.25">
      <c r="A10" s="148" t="s">
        <v>20</v>
      </c>
      <c r="B10" s="149"/>
      <c r="C10" s="46" t="s">
        <v>153</v>
      </c>
      <c r="E10" s="47" t="s">
        <v>154</v>
      </c>
      <c r="F10" s="48" t="s">
        <v>155</v>
      </c>
      <c r="G10" s="48" t="s">
        <v>156</v>
      </c>
    </row>
    <row r="11" spans="1:9" x14ac:dyDescent="0.25">
      <c r="A11" s="150" t="s">
        <v>49</v>
      </c>
      <c r="B11" s="151"/>
      <c r="C11" s="78" t="s">
        <v>50</v>
      </c>
      <c r="D11" s="78"/>
      <c r="E11" s="49">
        <f>ROUND('Stavební rozpočet'!H12,2)</f>
        <v>0</v>
      </c>
      <c r="F11" s="49">
        <f>ROUND('Stavební rozpočet'!I12,2)</f>
        <v>0</v>
      </c>
      <c r="G11" s="49">
        <f>ROUND('Stavební rozpočet'!J12,2)</f>
        <v>0</v>
      </c>
      <c r="H11" s="32" t="s">
        <v>157</v>
      </c>
      <c r="I11" s="30">
        <f t="shared" ref="I11:I17" si="0">IF(H11="F",0,G11)</f>
        <v>0</v>
      </c>
    </row>
    <row r="12" spans="1:9" x14ac:dyDescent="0.25">
      <c r="A12" s="77" t="s">
        <v>63</v>
      </c>
      <c r="B12" s="78"/>
      <c r="C12" s="78" t="s">
        <v>64</v>
      </c>
      <c r="D12" s="78"/>
      <c r="E12" s="30">
        <f>ROUND('Stavební rozpočet'!H15,2)</f>
        <v>0</v>
      </c>
      <c r="F12" s="30">
        <f>ROUND('Stavební rozpočet'!I15,2)</f>
        <v>0</v>
      </c>
      <c r="G12" s="30">
        <f>ROUND('Stavební rozpočet'!J15,2)</f>
        <v>0</v>
      </c>
      <c r="H12" s="32" t="s">
        <v>157</v>
      </c>
      <c r="I12" s="30">
        <f t="shared" si="0"/>
        <v>0</v>
      </c>
    </row>
    <row r="13" spans="1:9" x14ac:dyDescent="0.25">
      <c r="A13" s="77" t="s">
        <v>77</v>
      </c>
      <c r="B13" s="78"/>
      <c r="C13" s="78" t="s">
        <v>78</v>
      </c>
      <c r="D13" s="78"/>
      <c r="E13" s="30">
        <f>ROUND('Stavební rozpočet'!H20,2)</f>
        <v>0</v>
      </c>
      <c r="F13" s="30">
        <f>ROUND('Stavební rozpočet'!I20,2)</f>
        <v>0</v>
      </c>
      <c r="G13" s="30">
        <f>ROUND('Stavební rozpočet'!J20,2)</f>
        <v>0</v>
      </c>
      <c r="H13" s="32" t="s">
        <v>157</v>
      </c>
      <c r="I13" s="30">
        <f t="shared" si="0"/>
        <v>0</v>
      </c>
    </row>
    <row r="14" spans="1:9" x14ac:dyDescent="0.25">
      <c r="A14" s="77" t="s">
        <v>99</v>
      </c>
      <c r="B14" s="78"/>
      <c r="C14" s="78" t="s">
        <v>100</v>
      </c>
      <c r="D14" s="78"/>
      <c r="E14" s="30">
        <f>ROUND('Stavební rozpočet'!H27,2)</f>
        <v>0</v>
      </c>
      <c r="F14" s="30">
        <f>ROUND('Stavební rozpočet'!I27,2)</f>
        <v>0</v>
      </c>
      <c r="G14" s="30">
        <f>ROUND('Stavební rozpočet'!J27,2)</f>
        <v>0</v>
      </c>
      <c r="H14" s="32" t="s">
        <v>157</v>
      </c>
      <c r="I14" s="30">
        <f t="shared" si="0"/>
        <v>0</v>
      </c>
    </row>
    <row r="15" spans="1:9" x14ac:dyDescent="0.25">
      <c r="A15" s="77" t="s">
        <v>112</v>
      </c>
      <c r="B15" s="78"/>
      <c r="C15" s="78" t="s">
        <v>113</v>
      </c>
      <c r="D15" s="78"/>
      <c r="E15" s="30">
        <f>ROUND('Stavební rozpočet'!H31,2)</f>
        <v>0</v>
      </c>
      <c r="F15" s="30">
        <f>ROUND('Stavební rozpočet'!I31,2)</f>
        <v>0</v>
      </c>
      <c r="G15" s="30">
        <f>ROUND('Stavební rozpočet'!J31,2)</f>
        <v>0</v>
      </c>
      <c r="H15" s="32" t="s">
        <v>157</v>
      </c>
      <c r="I15" s="30">
        <f t="shared" si="0"/>
        <v>0</v>
      </c>
    </row>
    <row r="16" spans="1:9" x14ac:dyDescent="0.25">
      <c r="A16" s="77" t="s">
        <v>121</v>
      </c>
      <c r="B16" s="78"/>
      <c r="C16" s="78" t="s">
        <v>122</v>
      </c>
      <c r="D16" s="78"/>
      <c r="E16" s="30">
        <f>ROUND('Stavební rozpočet'!H34,2)</f>
        <v>0</v>
      </c>
      <c r="F16" s="30">
        <f>ROUND('Stavební rozpočet'!I34,2)</f>
        <v>0</v>
      </c>
      <c r="G16" s="30">
        <f>ROUND('Stavební rozpočet'!J34,2)</f>
        <v>0</v>
      </c>
      <c r="H16" s="32" t="s">
        <v>157</v>
      </c>
      <c r="I16" s="30">
        <f t="shared" si="0"/>
        <v>0</v>
      </c>
    </row>
    <row r="17" spans="1:9" x14ac:dyDescent="0.25">
      <c r="A17" s="77" t="s">
        <v>133</v>
      </c>
      <c r="B17" s="78"/>
      <c r="C17" s="78" t="s">
        <v>134</v>
      </c>
      <c r="D17" s="78"/>
      <c r="E17" s="30">
        <f>ROUND('Stavební rozpočet'!H40,2)</f>
        <v>0</v>
      </c>
      <c r="F17" s="30">
        <f>ROUND('Stavební rozpočet'!I40,2)</f>
        <v>0</v>
      </c>
      <c r="G17" s="30">
        <f>ROUND('Stavební rozpočet'!J40,2)</f>
        <v>0</v>
      </c>
      <c r="H17" s="32" t="s">
        <v>157</v>
      </c>
      <c r="I17" s="30">
        <f t="shared" si="0"/>
        <v>0</v>
      </c>
    </row>
    <row r="18" spans="1:9" x14ac:dyDescent="0.25">
      <c r="F18" s="4" t="s">
        <v>151</v>
      </c>
      <c r="G18" s="50">
        <f>ROUND(SUM(I11:I17),2)</f>
        <v>0</v>
      </c>
    </row>
  </sheetData>
  <mergeCells count="40">
    <mergeCell ref="A17:B17"/>
    <mergeCell ref="C17:D17"/>
    <mergeCell ref="A14:B14"/>
    <mergeCell ref="C14:D14"/>
    <mergeCell ref="A15:B15"/>
    <mergeCell ref="C15:D15"/>
    <mergeCell ref="A16:B16"/>
    <mergeCell ref="C16:D16"/>
    <mergeCell ref="A11:B11"/>
    <mergeCell ref="C11:D11"/>
    <mergeCell ref="A12:B12"/>
    <mergeCell ref="C12:D12"/>
    <mergeCell ref="A13:B13"/>
    <mergeCell ref="C13:D13"/>
    <mergeCell ref="G2:G3"/>
    <mergeCell ref="G4:G5"/>
    <mergeCell ref="G6:G7"/>
    <mergeCell ref="G8:G9"/>
    <mergeCell ref="A10:B10"/>
    <mergeCell ref="C8:C9"/>
    <mergeCell ref="E2:E3"/>
    <mergeCell ref="E4:E5"/>
    <mergeCell ref="E6:E7"/>
    <mergeCell ref="E8:E9"/>
    <mergeCell ref="A1:G1"/>
    <mergeCell ref="A2:B3"/>
    <mergeCell ref="A4:B5"/>
    <mergeCell ref="A6:B7"/>
    <mergeCell ref="A8:B9"/>
    <mergeCell ref="D2:D3"/>
    <mergeCell ref="D4:D5"/>
    <mergeCell ref="D6:D7"/>
    <mergeCell ref="D8:D9"/>
    <mergeCell ref="F2:F3"/>
    <mergeCell ref="F4:F5"/>
    <mergeCell ref="F6:F7"/>
    <mergeCell ref="F8:F9"/>
    <mergeCell ref="C2:C3"/>
    <mergeCell ref="C4:C5"/>
    <mergeCell ref="C6:C7"/>
  </mergeCells>
  <pageMargins left="0.393999993801117" right="0.393999993801117" top="0.59100002050399802" bottom="0.59100002050399802" header="0" footer="0"/>
  <pageSetup scale="74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36"/>
  <sheetViews>
    <sheetView topLeftCell="A10" zoomScaleNormal="100" workbookViewId="0">
      <selection activeCell="K11" sqref="K11"/>
    </sheetView>
  </sheetViews>
  <sheetFormatPr defaultColWidth="12.140625" defaultRowHeight="15" customHeight="1" x14ac:dyDescent="0.25"/>
  <cols>
    <col min="1" max="1" width="9.140625" customWidth="1"/>
    <col min="2" max="2" width="12.85546875" customWidth="1"/>
    <col min="3" max="3" width="22.85546875" customWidth="1"/>
    <col min="4" max="4" width="10" customWidth="1"/>
    <col min="5" max="5" width="14" customWidth="1"/>
    <col min="6" max="6" width="22.85546875" customWidth="1"/>
    <col min="7" max="7" width="9.140625" customWidth="1"/>
    <col min="8" max="8" width="17.140625" customWidth="1"/>
    <col min="9" max="9" width="22.85546875" customWidth="1"/>
  </cols>
  <sheetData>
    <row r="1" spans="1:9" ht="54.75" customHeight="1" x14ac:dyDescent="0.25">
      <c r="A1" s="73" t="s">
        <v>202</v>
      </c>
      <c r="B1" s="74"/>
      <c r="C1" s="74"/>
      <c r="D1" s="74"/>
      <c r="E1" s="74"/>
      <c r="F1" s="74"/>
      <c r="G1" s="74"/>
      <c r="H1" s="74"/>
      <c r="I1" s="74"/>
    </row>
    <row r="2" spans="1:9" x14ac:dyDescent="0.25">
      <c r="A2" s="75" t="s">
        <v>1</v>
      </c>
      <c r="B2" s="76"/>
      <c r="C2" s="85" t="str">
        <f>'Stavební rozpočet'!C2</f>
        <v>Odstranění kovového zásobníku v Selmicích</v>
      </c>
      <c r="D2" s="86"/>
      <c r="E2" s="80" t="s">
        <v>4</v>
      </c>
      <c r="F2" s="80" t="str">
        <f>'Stavební rozpočet'!I2</f>
        <v>Národní hřebčín Kladruby nad Labem</v>
      </c>
      <c r="G2" s="76"/>
      <c r="H2" s="80" t="s">
        <v>159</v>
      </c>
      <c r="I2" s="82" t="s">
        <v>48</v>
      </c>
    </row>
    <row r="3" spans="1:9" ht="15" customHeight="1" x14ac:dyDescent="0.25">
      <c r="A3" s="77"/>
      <c r="B3" s="78"/>
      <c r="C3" s="87"/>
      <c r="D3" s="87"/>
      <c r="E3" s="78"/>
      <c r="F3" s="78"/>
      <c r="G3" s="78"/>
      <c r="H3" s="78"/>
      <c r="I3" s="83"/>
    </row>
    <row r="4" spans="1:9" x14ac:dyDescent="0.25">
      <c r="A4" s="79" t="s">
        <v>6</v>
      </c>
      <c r="B4" s="78"/>
      <c r="C4" s="81" t="str">
        <f>'Stavební rozpočet'!C4</f>
        <v xml:space="preserve"> </v>
      </c>
      <c r="D4" s="78"/>
      <c r="E4" s="81" t="s">
        <v>9</v>
      </c>
      <c r="F4" s="81" t="str">
        <f>'Stavební rozpočet'!I4</f>
        <v> </v>
      </c>
      <c r="G4" s="78"/>
      <c r="H4" s="81" t="s">
        <v>159</v>
      </c>
      <c r="I4" s="83" t="s">
        <v>48</v>
      </c>
    </row>
    <row r="5" spans="1:9" ht="15" customHeight="1" x14ac:dyDescent="0.25">
      <c r="A5" s="77"/>
      <c r="B5" s="78"/>
      <c r="C5" s="78"/>
      <c r="D5" s="78"/>
      <c r="E5" s="78"/>
      <c r="F5" s="78"/>
      <c r="G5" s="78"/>
      <c r="H5" s="78"/>
      <c r="I5" s="83"/>
    </row>
    <row r="6" spans="1:9" x14ac:dyDescent="0.25">
      <c r="A6" s="79" t="s">
        <v>11</v>
      </c>
      <c r="B6" s="78"/>
      <c r="C6" s="81" t="str">
        <f>'Stavební rozpočet'!C6</f>
        <v>k.ú. Selmice, parc.č. 1162</v>
      </c>
      <c r="D6" s="78"/>
      <c r="E6" s="81" t="s">
        <v>14</v>
      </c>
      <c r="F6" s="81" t="str">
        <f>'Stavební rozpočet'!I6</f>
        <v>Projektový servis Chrudim s.r.o.</v>
      </c>
      <c r="G6" s="78"/>
      <c r="H6" s="81" t="s">
        <v>159</v>
      </c>
      <c r="I6" s="83" t="s">
        <v>48</v>
      </c>
    </row>
    <row r="7" spans="1:9" ht="15" customHeight="1" x14ac:dyDescent="0.25">
      <c r="A7" s="77"/>
      <c r="B7" s="78"/>
      <c r="C7" s="78"/>
      <c r="D7" s="78"/>
      <c r="E7" s="78"/>
      <c r="F7" s="78"/>
      <c r="G7" s="78"/>
      <c r="H7" s="78"/>
      <c r="I7" s="83"/>
    </row>
    <row r="8" spans="1:9" x14ac:dyDescent="0.25">
      <c r="A8" s="79" t="s">
        <v>7</v>
      </c>
      <c r="B8" s="78"/>
      <c r="C8" s="81"/>
      <c r="D8" s="78"/>
      <c r="E8" s="81" t="s">
        <v>13</v>
      </c>
      <c r="F8" s="81" t="str">
        <f>'Stavební rozpočet'!G6</f>
        <v xml:space="preserve"> </v>
      </c>
      <c r="G8" s="78"/>
      <c r="H8" s="78" t="s">
        <v>160</v>
      </c>
      <c r="I8" s="84">
        <v>24</v>
      </c>
    </row>
    <row r="9" spans="1:9" x14ac:dyDescent="0.25">
      <c r="A9" s="77"/>
      <c r="B9" s="78"/>
      <c r="C9" s="78"/>
      <c r="D9" s="78"/>
      <c r="E9" s="78"/>
      <c r="F9" s="78"/>
      <c r="G9" s="78"/>
      <c r="H9" s="78"/>
      <c r="I9" s="83"/>
    </row>
    <row r="10" spans="1:9" x14ac:dyDescent="0.25">
      <c r="A10" s="79" t="s">
        <v>16</v>
      </c>
      <c r="B10" s="78"/>
      <c r="C10" s="81" t="str">
        <f>'Stavební rozpočet'!C8</f>
        <v xml:space="preserve"> </v>
      </c>
      <c r="D10" s="78"/>
      <c r="E10" s="81" t="s">
        <v>18</v>
      </c>
      <c r="F10" s="81" t="str">
        <f>'Stavební rozpočet'!I8</f>
        <v> </v>
      </c>
      <c r="G10" s="78"/>
      <c r="H10" s="78" t="s">
        <v>161</v>
      </c>
      <c r="I10" s="89"/>
    </row>
    <row r="11" spans="1:9" x14ac:dyDescent="0.25">
      <c r="A11" s="94"/>
      <c r="B11" s="88"/>
      <c r="C11" s="88"/>
      <c r="D11" s="88"/>
      <c r="E11" s="88"/>
      <c r="F11" s="88"/>
      <c r="G11" s="88"/>
      <c r="H11" s="88"/>
      <c r="I11" s="90"/>
    </row>
    <row r="13" spans="1:9" ht="15.75" x14ac:dyDescent="0.25">
      <c r="A13" s="152" t="s">
        <v>203</v>
      </c>
      <c r="B13" s="152"/>
      <c r="C13" s="152"/>
      <c r="D13" s="152"/>
      <c r="E13" s="152"/>
    </row>
    <row r="14" spans="1:9" x14ac:dyDescent="0.25">
      <c r="A14" s="153" t="s">
        <v>204</v>
      </c>
      <c r="B14" s="154"/>
      <c r="C14" s="154"/>
      <c r="D14" s="154"/>
      <c r="E14" s="155"/>
      <c r="F14" s="65" t="s">
        <v>205</v>
      </c>
      <c r="G14" s="65" t="s">
        <v>206</v>
      </c>
      <c r="H14" s="65" t="s">
        <v>207</v>
      </c>
      <c r="I14" s="65" t="s">
        <v>205</v>
      </c>
    </row>
    <row r="15" spans="1:9" x14ac:dyDescent="0.25">
      <c r="A15" s="156" t="s">
        <v>171</v>
      </c>
      <c r="B15" s="157"/>
      <c r="C15" s="157"/>
      <c r="D15" s="157"/>
      <c r="E15" s="158"/>
      <c r="F15" s="66">
        <v>0</v>
      </c>
      <c r="G15" s="67" t="s">
        <v>48</v>
      </c>
      <c r="H15" s="67" t="s">
        <v>48</v>
      </c>
      <c r="I15" s="66">
        <f>F15</f>
        <v>0</v>
      </c>
    </row>
    <row r="16" spans="1:9" x14ac:dyDescent="0.25">
      <c r="A16" s="156" t="s">
        <v>173</v>
      </c>
      <c r="B16" s="157"/>
      <c r="C16" s="157"/>
      <c r="D16" s="157"/>
      <c r="E16" s="158"/>
      <c r="F16" s="66">
        <v>0</v>
      </c>
      <c r="G16" s="67" t="s">
        <v>48</v>
      </c>
      <c r="H16" s="67" t="s">
        <v>48</v>
      </c>
      <c r="I16" s="66">
        <f>F16</f>
        <v>0</v>
      </c>
    </row>
    <row r="17" spans="1:9" x14ac:dyDescent="0.25">
      <c r="A17" s="159" t="s">
        <v>176</v>
      </c>
      <c r="B17" s="160"/>
      <c r="C17" s="160"/>
      <c r="D17" s="160"/>
      <c r="E17" s="161"/>
      <c r="F17" s="68">
        <v>0</v>
      </c>
      <c r="G17" s="69" t="s">
        <v>48</v>
      </c>
      <c r="H17" s="69" t="s">
        <v>48</v>
      </c>
      <c r="I17" s="68">
        <f>F17</f>
        <v>0</v>
      </c>
    </row>
    <row r="18" spans="1:9" x14ac:dyDescent="0.25">
      <c r="A18" s="148" t="s">
        <v>208</v>
      </c>
      <c r="B18" s="162"/>
      <c r="C18" s="162"/>
      <c r="D18" s="162"/>
      <c r="E18" s="163"/>
      <c r="F18" s="70" t="s">
        <v>48</v>
      </c>
      <c r="G18" s="71" t="s">
        <v>48</v>
      </c>
      <c r="H18" s="71" t="s">
        <v>48</v>
      </c>
      <c r="I18" s="72">
        <f>SUM(I15:I17)</f>
        <v>0</v>
      </c>
    </row>
    <row r="20" spans="1:9" x14ac:dyDescent="0.25">
      <c r="A20" s="153" t="s">
        <v>168</v>
      </c>
      <c r="B20" s="154"/>
      <c r="C20" s="154"/>
      <c r="D20" s="154"/>
      <c r="E20" s="155"/>
      <c r="F20" s="65" t="s">
        <v>205</v>
      </c>
      <c r="G20" s="65" t="s">
        <v>206</v>
      </c>
      <c r="H20" s="65" t="s">
        <v>207</v>
      </c>
      <c r="I20" s="65" t="s">
        <v>205</v>
      </c>
    </row>
    <row r="21" spans="1:9" x14ac:dyDescent="0.25">
      <c r="A21" s="156" t="s">
        <v>172</v>
      </c>
      <c r="B21" s="157"/>
      <c r="C21" s="157"/>
      <c r="D21" s="157"/>
      <c r="E21" s="158"/>
      <c r="F21" s="67" t="s">
        <v>48</v>
      </c>
      <c r="G21" s="66">
        <v>2.5</v>
      </c>
      <c r="H21" s="66">
        <f>'Krycí list rozpočtu'!C22</f>
        <v>0</v>
      </c>
      <c r="I21" s="66">
        <f>ROUND((G21/100)*H21,2)</f>
        <v>0</v>
      </c>
    </row>
    <row r="22" spans="1:9" x14ac:dyDescent="0.25">
      <c r="A22" s="156" t="s">
        <v>174</v>
      </c>
      <c r="B22" s="157"/>
      <c r="C22" s="157"/>
      <c r="D22" s="157"/>
      <c r="E22" s="158"/>
      <c r="F22" s="66">
        <v>0</v>
      </c>
      <c r="G22" s="67" t="s">
        <v>48</v>
      </c>
      <c r="H22" s="67" t="s">
        <v>48</v>
      </c>
      <c r="I22" s="66">
        <f>F22</f>
        <v>0</v>
      </c>
    </row>
    <row r="23" spans="1:9" x14ac:dyDescent="0.25">
      <c r="A23" s="156" t="s">
        <v>177</v>
      </c>
      <c r="B23" s="157"/>
      <c r="C23" s="157"/>
      <c r="D23" s="157"/>
      <c r="E23" s="158"/>
      <c r="F23" s="66">
        <v>0</v>
      </c>
      <c r="G23" s="67" t="s">
        <v>48</v>
      </c>
      <c r="H23" s="67" t="s">
        <v>48</v>
      </c>
      <c r="I23" s="66">
        <v>0</v>
      </c>
    </row>
    <row r="24" spans="1:9" x14ac:dyDescent="0.25">
      <c r="A24" s="156" t="s">
        <v>178</v>
      </c>
      <c r="B24" s="157"/>
      <c r="C24" s="157"/>
      <c r="D24" s="157"/>
      <c r="E24" s="158"/>
      <c r="F24" s="66">
        <v>0</v>
      </c>
      <c r="G24" s="67" t="s">
        <v>48</v>
      </c>
      <c r="H24" s="67" t="s">
        <v>48</v>
      </c>
      <c r="I24" s="66">
        <f>F24</f>
        <v>0</v>
      </c>
    </row>
    <row r="25" spans="1:9" x14ac:dyDescent="0.25">
      <c r="A25" s="156" t="s">
        <v>180</v>
      </c>
      <c r="B25" s="157"/>
      <c r="C25" s="157"/>
      <c r="D25" s="157"/>
      <c r="E25" s="158"/>
      <c r="F25" s="66">
        <v>0</v>
      </c>
      <c r="G25" s="67" t="s">
        <v>48</v>
      </c>
      <c r="H25" s="67" t="s">
        <v>48</v>
      </c>
      <c r="I25" s="66">
        <f>F25</f>
        <v>0</v>
      </c>
    </row>
    <row r="26" spans="1:9" x14ac:dyDescent="0.25">
      <c r="A26" s="159" t="s">
        <v>181</v>
      </c>
      <c r="B26" s="160"/>
      <c r="C26" s="160"/>
      <c r="D26" s="160"/>
      <c r="E26" s="161"/>
      <c r="F26" s="68">
        <v>0</v>
      </c>
      <c r="G26" s="69" t="s">
        <v>48</v>
      </c>
      <c r="H26" s="69" t="s">
        <v>48</v>
      </c>
      <c r="I26" s="68">
        <f>F26</f>
        <v>0</v>
      </c>
    </row>
    <row r="27" spans="1:9" x14ac:dyDescent="0.25">
      <c r="A27" s="148" t="s">
        <v>209</v>
      </c>
      <c r="B27" s="162"/>
      <c r="C27" s="162"/>
      <c r="D27" s="162"/>
      <c r="E27" s="163"/>
      <c r="F27" s="70" t="s">
        <v>48</v>
      </c>
      <c r="G27" s="71" t="s">
        <v>48</v>
      </c>
      <c r="H27" s="71" t="s">
        <v>48</v>
      </c>
      <c r="I27" s="72">
        <f>SUM(I21:I26)</f>
        <v>0</v>
      </c>
    </row>
    <row r="29" spans="1:9" ht="15.75" x14ac:dyDescent="0.25">
      <c r="A29" s="164" t="s">
        <v>210</v>
      </c>
      <c r="B29" s="165"/>
      <c r="C29" s="165"/>
      <c r="D29" s="165"/>
      <c r="E29" s="166"/>
      <c r="F29" s="167">
        <f>I18+I27</f>
        <v>0</v>
      </c>
      <c r="G29" s="168"/>
      <c r="H29" s="168"/>
      <c r="I29" s="169"/>
    </row>
    <row r="33" spans="1:9" ht="15.75" x14ac:dyDescent="0.25">
      <c r="A33" s="152" t="s">
        <v>211</v>
      </c>
      <c r="B33" s="152"/>
      <c r="C33" s="152"/>
      <c r="D33" s="152"/>
      <c r="E33" s="152"/>
    </row>
    <row r="34" spans="1:9" x14ac:dyDescent="0.25">
      <c r="A34" s="153" t="s">
        <v>212</v>
      </c>
      <c r="B34" s="154"/>
      <c r="C34" s="154"/>
      <c r="D34" s="154"/>
      <c r="E34" s="155"/>
      <c r="F34" s="65" t="s">
        <v>205</v>
      </c>
      <c r="G34" s="65" t="s">
        <v>206</v>
      </c>
      <c r="H34" s="65" t="s">
        <v>207</v>
      </c>
      <c r="I34" s="65" t="s">
        <v>205</v>
      </c>
    </row>
    <row r="35" spans="1:9" x14ac:dyDescent="0.25">
      <c r="A35" s="159" t="s">
        <v>48</v>
      </c>
      <c r="B35" s="160"/>
      <c r="C35" s="160"/>
      <c r="D35" s="160"/>
      <c r="E35" s="161"/>
      <c r="F35" s="68">
        <v>0</v>
      </c>
      <c r="G35" s="69" t="s">
        <v>48</v>
      </c>
      <c r="H35" s="69" t="s">
        <v>48</v>
      </c>
      <c r="I35" s="68">
        <f>F35</f>
        <v>0</v>
      </c>
    </row>
    <row r="36" spans="1:9" x14ac:dyDescent="0.25">
      <c r="A36" s="148" t="s">
        <v>213</v>
      </c>
      <c r="B36" s="162"/>
      <c r="C36" s="162"/>
      <c r="D36" s="162"/>
      <c r="E36" s="163"/>
      <c r="F36" s="70" t="s">
        <v>48</v>
      </c>
      <c r="G36" s="71" t="s">
        <v>48</v>
      </c>
      <c r="H36" s="71" t="s">
        <v>48</v>
      </c>
      <c r="I36" s="72">
        <f>SUM(I35:I35)</f>
        <v>0</v>
      </c>
    </row>
  </sheetData>
  <mergeCells count="51">
    <mergeCell ref="A36:E36"/>
    <mergeCell ref="A29:E29"/>
    <mergeCell ref="F29:I29"/>
    <mergeCell ref="A33:E33"/>
    <mergeCell ref="A34:E34"/>
    <mergeCell ref="A35:E35"/>
    <mergeCell ref="A23:E23"/>
    <mergeCell ref="A24:E24"/>
    <mergeCell ref="A25:E25"/>
    <mergeCell ref="A26:E26"/>
    <mergeCell ref="A27:E27"/>
    <mergeCell ref="A17:E17"/>
    <mergeCell ref="A18:E18"/>
    <mergeCell ref="A20:E20"/>
    <mergeCell ref="A21:E21"/>
    <mergeCell ref="A22:E22"/>
    <mergeCell ref="I10:I11"/>
    <mergeCell ref="A13:E13"/>
    <mergeCell ref="A14:E14"/>
    <mergeCell ref="A15:E15"/>
    <mergeCell ref="A16:E16"/>
    <mergeCell ref="H10:H11"/>
    <mergeCell ref="A10:B11"/>
    <mergeCell ref="C2:D3"/>
    <mergeCell ref="C4:D5"/>
    <mergeCell ref="C6:D7"/>
    <mergeCell ref="C8:D9"/>
    <mergeCell ref="C10:D11"/>
    <mergeCell ref="E8:E9"/>
    <mergeCell ref="E10:E11"/>
    <mergeCell ref="F2:G3"/>
    <mergeCell ref="F4:G5"/>
    <mergeCell ref="F6:G7"/>
    <mergeCell ref="F8:G9"/>
    <mergeCell ref="F10:G11"/>
    <mergeCell ref="A1:I1"/>
    <mergeCell ref="A2:B3"/>
    <mergeCell ref="A4:B5"/>
    <mergeCell ref="A6:B7"/>
    <mergeCell ref="A8:B9"/>
    <mergeCell ref="H2:H3"/>
    <mergeCell ref="H4:H5"/>
    <mergeCell ref="H6:H7"/>
    <mergeCell ref="H8:H9"/>
    <mergeCell ref="I2:I3"/>
    <mergeCell ref="I4:I5"/>
    <mergeCell ref="I6:I7"/>
    <mergeCell ref="I8:I9"/>
    <mergeCell ref="E2:E3"/>
    <mergeCell ref="E4:E5"/>
    <mergeCell ref="E6:E7"/>
  </mergeCells>
  <pageMargins left="0.393999993801117" right="0.393999993801117" top="0.59100002050399802" bottom="0.59100002050399802" header="0" footer="0"/>
  <pageSetup scale="9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Krycí list rozpočtu</vt:lpstr>
      <vt:lpstr>Stavební rozpočet</vt:lpstr>
      <vt:lpstr>Stavební rozpočet - součet</vt:lpstr>
      <vt:lpstr>VORN</vt:lpstr>
      <vt:lpstr>vorn_sum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Jiří Šlesarik</cp:lastModifiedBy>
  <cp:lastPrinted>2025-11-14T11:49:58Z</cp:lastPrinted>
  <dcterms:created xsi:type="dcterms:W3CDTF">2021-06-10T20:06:38Z</dcterms:created>
  <dcterms:modified xsi:type="dcterms:W3CDTF">2025-11-14T13:05:07Z</dcterms:modified>
</cp:coreProperties>
</file>