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3"/>
  </bookViews>
  <sheets>
    <sheet name="Rekapitulace stavby" sheetId="1" r:id="rId1"/>
    <sheet name="Položky" sheetId="2" r:id="rId2"/>
    <sheet name="Formular SV" sheetId="3" r:id="rId3"/>
    <sheet name="Rozp.duben 2013" sheetId="4" r:id="rId4"/>
    <sheet name="List2" sheetId="5" r:id="rId5"/>
  </sheets>
  <definedNames>
    <definedName name="_xlnm.Print_Titles" localSheetId="1">'Položky'!$137:$137</definedName>
    <definedName name="_xlnm.Print_Titles" localSheetId="0">'Rekapitulace stavby'!$85:$85</definedName>
    <definedName name="_xlnm.Print_Titles" localSheetId="3">'Rozp.duben 2013'!$1:$1</definedName>
    <definedName name="_xlnm.Print_Area" localSheetId="1">'Položky'!$C$4:$Q$70,'Položky'!$C$76:$Q$121,'Položky'!$C$127:$Q$747</definedName>
    <definedName name="_xlnm.Print_Area" localSheetId="0">'Rekapitulace stavby'!$C$4:$AP$70,'Rekapitulace stavby'!$C$76:$AP$105</definedName>
    <definedName name="_xlnm.Print_Area" localSheetId="3">'Rozp.duben 2013'!$A$1:$D$11</definedName>
  </definedNames>
  <calcPr fullCalcOnLoad="1"/>
</workbook>
</file>

<file path=xl/sharedStrings.xml><?xml version="1.0" encoding="utf-8"?>
<sst xmlns="http://schemas.openxmlformats.org/spreadsheetml/2006/main" count="5258" uniqueCount="864">
  <si>
    <t>2012</t>
  </si>
  <si>
    <t>List obsahuje:</t>
  </si>
  <si>
    <t>1.0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</si>
  <si>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</si>
  <si>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</si>
  <si>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</si>
  <si>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</si>
  <si>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</si>
  <si>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</si>
  <si>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</si>
  <si>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</si>
  <si>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</si>
  <si>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</si>
  <si>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Rozpočet
       - ceny u položek
       - množství, pokud má žluté podbarvení
       - a v případe potřeby poznámku (ta je v skrytém sloupci)</t>
  </si>
  <si>
    <t>Stavba:</t>
  </si>
  <si>
    <t>0,1</t>
  </si>
  <si>
    <t>1</t>
  </si>
  <si>
    <t>Místo:</t>
  </si>
  <si>
    <t>Tyršova č.p. 59</t>
  </si>
  <si>
    <t>Datum:</t>
  </si>
  <si>
    <t>10</t>
  </si>
  <si>
    <t>100</t>
  </si>
  <si>
    <t>Objednavatel:</t>
  </si>
  <si>
    <t>IČ:</t>
  </si>
  <si>
    <t>MZE ČR,Těšnov 65,Nové Město-Praha 1</t>
  </si>
  <si>
    <t>DIČ:</t>
  </si>
  <si>
    <t>Zhotovitel:</t>
  </si>
  <si>
    <t>Vyplň údaj</t>
  </si>
  <si>
    <t>Projektant:</t>
  </si>
  <si>
    <t>Proxion s r.o. Náchod</t>
  </si>
  <si>
    <t>True</t>
  </si>
  <si>
    <t>Zpracovatel:</t>
  </si>
  <si>
    <t>Ivan Mezera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</si>
  <si>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</si>
  <si>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</si>
  <si>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</si>
  <si>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</si>
  <si>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</si>
  <si>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</si>
  <si>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</si>
  <si>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</si>
  <si>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</si>
  <si>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</si>
  <si>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</si>
  <si>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</si>
  <si>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</si>
  <si>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</si>
  <si>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</si>
  <si>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</si>
  <si>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</si>
  <si>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</si>
  <si>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</si>
  <si>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</si>
  <si>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</si>
  <si>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</si>
  <si>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</si>
  <si>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</si>
  <si>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</si>
  <si>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</si>
  <si>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</si>
  <si>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</si>
  <si>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</si>
  <si>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</si>
  <si>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</si>
  <si>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</si>
  <si>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</si>
  <si>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</si>
  <si>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</si>
  <si>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</si>
  <si>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</si>
  <si>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</si>
  <si>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</si>
  <si>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</si>
  <si>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</si>
  <si>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</si>
  <si>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{E95B7479-5DDE-4D44-8EB3-E664FBE1FA79}</t>
  </si>
  <si>
    <t>{00000000-0000-0000-0000-000000000000}</t>
  </si>
  <si>
    <t>SO 01</t>
  </si>
  <si>
    <t>Stavební úpravy</t>
  </si>
  <si>
    <t>{2F0CB07A-5764-4D02-8A1C-6E510A3A88EC}</t>
  </si>
  <si>
    <t>2) Ostatní náklady ze souhrnného listu</t>
  </si>
  <si>
    <t>Procent. zadání
[% nákladů rozpočtu]</t>
  </si>
  <si>
    <t>Zařazení nákladů</t>
  </si>
  <si>
    <t>Projektové práce</t>
  </si>
  <si>
    <t>stavební čast</t>
  </si>
  <si>
    <t>OSTATNENAKLADY</t>
  </si>
  <si>
    <t>Průzkumné práce</t>
  </si>
  <si>
    <t>Stroje, zařízení, inventář</t>
  </si>
  <si>
    <t>Umělecká díla</t>
  </si>
  <si>
    <t>Vedlejší náklady</t>
  </si>
  <si>
    <t>Ostatní náklady</t>
  </si>
  <si>
    <t>H. Rezerva</t>
  </si>
  <si>
    <t>I. Ostatní investice</t>
  </si>
  <si>
    <t>Nehmotný investiční majetek</t>
  </si>
  <si>
    <t>Provozní náklady</t>
  </si>
  <si>
    <t>Vyplň vlastní</t>
  </si>
  <si>
    <t>OSTATNENAKLADYVLASTNE</t>
  </si>
  <si>
    <t>Celkové náklady za stavbu 1) + 2)</t>
  </si>
  <si>
    <t>Zpět na list:</t>
  </si>
  <si>
    <t>J</t>
  </si>
  <si>
    <t xml:space="preserve"> </t>
  </si>
  <si>
    <t>5,159</t>
  </si>
  <si>
    <t>2</t>
  </si>
  <si>
    <t>LP</t>
  </si>
  <si>
    <t>37,026</t>
  </si>
  <si>
    <t>Objekt:</t>
  </si>
  <si>
    <t>SO 01 - Stavební úpravy</t>
  </si>
  <si>
    <t>dle výběru investora</t>
  </si>
  <si>
    <t>Náklady z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</si>
  <si>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</si>
  <si>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</si>
  <si>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</si>
  <si>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</si>
  <si>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</si>
  <si>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</si>
  <si>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</si>
  <si>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</si>
  <si>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</si>
  <si>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</si>
  <si>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</si>
  <si>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  99 - Přesun hmot</t>
  </si>
  <si>
    <t>PSV - Práce a dodávky PSV</t>
  </si>
  <si>
    <t xml:space="preserve">    713 - Izolace tepelné</t>
  </si>
  <si>
    <t xml:space="preserve">    721 - Zdravotechnika - vnitřní kanalizace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</si>
  <si>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</si>
  <si>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</si>
  <si>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</si>
  <si>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Konstrukce pokrývačské</t>
  </si>
  <si>
    <t xml:space="preserve">    766 - Konstrukce truhlářské</t>
  </si>
  <si>
    <t xml:space="preserve">    767 - Konstrukce zámečnické</t>
  </si>
  <si>
    <t xml:space="preserve">    773 - Podlahy teracové</t>
  </si>
  <si>
    <t xml:space="preserve">    783 - Dokončovací práce - nátěry</t>
  </si>
  <si>
    <t xml:space="preserve">    784 - Dokončovací práce - malby</t>
  </si>
  <si>
    <t>M - Práce a dodávky M</t>
  </si>
  <si>
    <t xml:space="preserve">    33-M - Montáže dopr.zaříz.,sklad. zař. a váh</t>
  </si>
  <si>
    <t>OST - Ostatní</t>
  </si>
  <si>
    <t xml:space="preserve">    O01 - Ostatní</t>
  </si>
  <si>
    <t xml:space="preserve">    O02 - Vedlejší a ostatní náklady</t>
  </si>
  <si>
    <t>2) Ostatní náklady</t>
  </si>
  <si>
    <t>Zařízení staveniště</t>
  </si>
  <si>
    <t>VRN</t>
  </si>
  <si>
    <t>Mimostav. doprava</t>
  </si>
  <si>
    <t>Územní vlivy</t>
  </si>
  <si>
    <t>Provozní vlivy</t>
  </si>
  <si>
    <t>Ostatní</t>
  </si>
  <si>
    <t>Kompletační činnosť</t>
  </si>
  <si>
    <t>KOMPLETACNA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</si>
  <si>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</si>
  <si>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</si>
  <si>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</si>
  <si>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</si>
  <si>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</si>
  <si>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</si>
  <si>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</si>
  <si>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</si>
  <si>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</si>
  <si>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</si>
  <si>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</si>
  <si>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</si>
  <si>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</si>
  <si>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</si>
  <si>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</si>
  <si>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</si>
  <si>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139811101</t>
  </si>
  <si>
    <t>Vykopávky v uzavřených prostorách v hornině tř. 5 až 7</t>
  </si>
  <si>
    <t>m3</t>
  </si>
  <si>
    <t>4</t>
  </si>
  <si>
    <t>"AST-2,3</t>
  </si>
  <si>
    <t>VV</t>
  </si>
  <si>
    <t>"pro dojezd výtahové šachty</t>
  </si>
  <si>
    <t>2,12*1,57*1,55</t>
  </si>
  <si>
    <t>Součet</t>
  </si>
  <si>
    <t>151201201</t>
  </si>
  <si>
    <t>Zřízení zátažného pažení stěn výkopu hl do 4 m</t>
  </si>
  <si>
    <t>m2</t>
  </si>
  <si>
    <t>(2,12+1,57)*2*1,55</t>
  </si>
  <si>
    <t>3</t>
  </si>
  <si>
    <t>151201211</t>
  </si>
  <si>
    <t>Odstranění pažení stěn zátažného hl do 4 m</t>
  </si>
  <si>
    <t>151201301</t>
  </si>
  <si>
    <t>Zřízení rozepření stěn při pažení zátažném hl do 4 m</t>
  </si>
  <si>
    <t>5</t>
  </si>
  <si>
    <t>151201311</t>
  </si>
  <si>
    <t>Odstranění rozepření stěn při pažení zátažném hl do 4 m</t>
  </si>
  <si>
    <t>6</t>
  </si>
  <si>
    <t>161101501</t>
  </si>
  <si>
    <t>Svislé přemístění výkopku nošením svisle do v 3 m v hornině tř. 1 až 4</t>
  </si>
  <si>
    <t>7</t>
  </si>
  <si>
    <t>162201251</t>
  </si>
  <si>
    <t>Vodorovné přemístění do 10 m nošením výkopku z horniny tř. 5 až 7</t>
  </si>
  <si>
    <t>8</t>
  </si>
  <si>
    <t>162201259</t>
  </si>
  <si>
    <t>Příplatek k vodorovnému přemístění nošením ZKD 10 m nošení výkopku z horniny tř. 5 až 7</t>
  </si>
  <si>
    <t>J*2</t>
  </si>
  <si>
    <t>9</t>
  </si>
  <si>
    <t>275313611</t>
  </si>
  <si>
    <t>Základové patky z betonu tř. C 16/20</t>
  </si>
  <si>
    <t>0,5*0,5*0,15*2</t>
  </si>
  <si>
    <t>275351215</t>
  </si>
  <si>
    <t>Zřízení bednění stěn základových patek</t>
  </si>
  <si>
    <t>0,5*0,15*4*2</t>
  </si>
  <si>
    <t>11</t>
  </si>
  <si>
    <t>275351216</t>
  </si>
  <si>
    <t>Odstranění bednění stěn základových patek</t>
  </si>
  <si>
    <t>12</t>
  </si>
  <si>
    <t>310201112</t>
  </si>
  <si>
    <t>Příplatek za zaoblení zdiva o vnitřním průměru přes 5 do 15 m</t>
  </si>
  <si>
    <t>13</t>
  </si>
  <si>
    <t>310239411</t>
  </si>
  <si>
    <t>Zazdívka otvorů pl do 4 m2 ve zdivu nadzákladovém cihlami pálenými na MC</t>
  </si>
  <si>
    <t>"suterén</t>
  </si>
  <si>
    <t>3,5</t>
  </si>
  <si>
    <t>14</t>
  </si>
  <si>
    <t>311238114</t>
  </si>
  <si>
    <t>Zdivo nosné vnitřní  tl 240 mm pevnosti P 15 na MC</t>
  </si>
  <si>
    <t>"dojezd vytahove sachty</t>
  </si>
  <si>
    <t>(2,12+1,09)*1,3*2</t>
  </si>
  <si>
    <t>311238144S</t>
  </si>
  <si>
    <t>Zdivo nosné vnitřní z cihel broušených  tl 300 mm pevnosti P10 lepených tenkovrstvou maltou</t>
  </si>
  <si>
    <t>"AST-4</t>
  </si>
  <si>
    <t>(2,29+1,075*4+0,925)*0,5*2</t>
  </si>
  <si>
    <t>16</t>
  </si>
  <si>
    <t>317941121</t>
  </si>
  <si>
    <t>Osazování ocelových válcovaných nosníků na zdivu I, IE, U, UE nebo L do č 12</t>
  </si>
  <si>
    <t>t</t>
  </si>
  <si>
    <t>2,75*0,0144</t>
  </si>
  <si>
    <t>17</t>
  </si>
  <si>
    <t>M</t>
  </si>
  <si>
    <t>133806250</t>
  </si>
  <si>
    <t>tyč ocelová I, značka oceli S 235 JR, označení průřezu 140</t>
  </si>
  <si>
    <t>Hmotnost: 14,4 kg/m</t>
  </si>
  <si>
    <t>P</t>
  </si>
  <si>
    <t>18</t>
  </si>
  <si>
    <t>340201119</t>
  </si>
  <si>
    <t>Příplatek k příčkám a přizdívkám za zaoblení o vnitřním poloměru půdorysu do 5 m</t>
  </si>
  <si>
    <t>"příčka suterén</t>
  </si>
  <si>
    <t>3,14*2*0,5*3,45</t>
  </si>
  <si>
    <t>19</t>
  </si>
  <si>
    <t>342248110</t>
  </si>
  <si>
    <t>Příčky tl 80 mm pevnosti P 10 na MVC</t>
  </si>
  <si>
    <t>1,5*2,33</t>
  </si>
  <si>
    <t>0,7*3,68</t>
  </si>
  <si>
    <t>20</t>
  </si>
  <si>
    <t>346971122S</t>
  </si>
  <si>
    <t>Izolace pod příčky proti šíření zvuku jednoduchá z MC a lepenky š do 300 mm</t>
  </si>
  <si>
    <t>m</t>
  </si>
  <si>
    <t>(2,29+1,075*4+0,925)*0,3*2</t>
  </si>
  <si>
    <t>411121011</t>
  </si>
  <si>
    <t>Montáž prefabrikovaných ŽB stropů ze stropních povalů dl do 3800 mm</t>
  </si>
  <si>
    <t>kus</t>
  </si>
  <si>
    <t>"pod dojezdem výtahové šachty</t>
  </si>
  <si>
    <t>22</t>
  </si>
  <si>
    <t>593211030</t>
  </si>
  <si>
    <t>překlad železobetonový RZP 4/10 239x14x14 cm</t>
  </si>
  <si>
    <t>23</t>
  </si>
  <si>
    <t>417321313</t>
  </si>
  <si>
    <t>Ztužující pásy a věnce ze ŽB tř. C 16/20</t>
  </si>
  <si>
    <t>(2,12+1,09)*0,25*0,15*2</t>
  </si>
  <si>
    <t>24</t>
  </si>
  <si>
    <t>417351115</t>
  </si>
  <si>
    <t>Zřízení bednění ztužujících věnců</t>
  </si>
  <si>
    <t>(2,12+1,64+1,09+1,57)*0,15*2</t>
  </si>
  <si>
    <t>25</t>
  </si>
  <si>
    <t>417351116</t>
  </si>
  <si>
    <t>Odstranění bednění ztužujících věnců</t>
  </si>
  <si>
    <t>26</t>
  </si>
  <si>
    <t>417361821</t>
  </si>
  <si>
    <t>Výztuž ztužujících pásů a věnců betonářskou ocelí 10 505</t>
  </si>
  <si>
    <t>0,241*0,04</t>
  </si>
  <si>
    <t>27</t>
  </si>
  <si>
    <t>611325122</t>
  </si>
  <si>
    <t>Vápenocementová štuková omítka rýh ve stropech šířky do 300 mm</t>
  </si>
  <si>
    <t>0,8*0,3*2</t>
  </si>
  <si>
    <t>28</t>
  </si>
  <si>
    <t>611325223</t>
  </si>
  <si>
    <t>Vápenocementová štuková omítka malých ploch do 1,0 m2 na stropech</t>
  </si>
  <si>
    <t>"v místě nové výtahové šachty</t>
  </si>
  <si>
    <t>29</t>
  </si>
  <si>
    <t>612131111</t>
  </si>
  <si>
    <t>Polymercementový spojovací můstek vnitřních stěn nanášený ručně</t>
  </si>
  <si>
    <t>1,5*2,33*2</t>
  </si>
  <si>
    <t>3,14*2*0,5*3,45*2</t>
  </si>
  <si>
    <t>0,7*3,68*2</t>
  </si>
  <si>
    <t>(2,12+1,09+1,57+1,64)*1,4*2</t>
  </si>
  <si>
    <t>30</t>
  </si>
  <si>
    <t>612131121</t>
  </si>
  <si>
    <t>Penetrace akrylát-silikonová vnitřních stěn nanášená ručně</t>
  </si>
  <si>
    <t>31</t>
  </si>
  <si>
    <t>612135002</t>
  </si>
  <si>
    <t>Vyrovnání podkladu vnitřních stěn maltou cementovou tl do 10 mm</t>
  </si>
  <si>
    <t>(1,8+0,15*2)*(0,56+0,465+0,56)</t>
  </si>
  <si>
    <t>32</t>
  </si>
  <si>
    <t>612135101</t>
  </si>
  <si>
    <t>Hrubá výplň rýh ve stěnách maltou jakékoli šířky rýhy</t>
  </si>
  <si>
    <t>0,8*0,3</t>
  </si>
  <si>
    <t>33</t>
  </si>
  <si>
    <t>612311141</t>
  </si>
  <si>
    <t>Vápenná omítka štuková dvouvrstvá vnitřních stěn nanášená ručně</t>
  </si>
  <si>
    <t>34</t>
  </si>
  <si>
    <t>612311191</t>
  </si>
  <si>
    <t>Příplatek k vápenné omítce vnitřních stěn za každých dalších 5 mm tloušťky ručně</t>
  </si>
  <si>
    <t>35</t>
  </si>
  <si>
    <t>612321141</t>
  </si>
  <si>
    <t>Vápenocementová omítka štuková dvouvrstvá vnitřních stěn nanášená ručně</t>
  </si>
  <si>
    <t>36</t>
  </si>
  <si>
    <t>612325223</t>
  </si>
  <si>
    <t>Vápenocementová štuková omítka malých ploch do 1,0 m2 na stěnách</t>
  </si>
  <si>
    <t>37</t>
  </si>
  <si>
    <t>612821012</t>
  </si>
  <si>
    <t>Vnitřní sanační štuková omítka pro vlhké a zasolené zdivo prováděná ručně</t>
  </si>
  <si>
    <t>"AST-2</t>
  </si>
  <si>
    <t>8,0*2,0</t>
  </si>
  <si>
    <t>38</t>
  </si>
  <si>
    <t>612821031</t>
  </si>
  <si>
    <t>Vnitřní vyrovnávací sanační omítka prováděná ručně</t>
  </si>
  <si>
    <t>39</t>
  </si>
  <si>
    <t>617311121</t>
  </si>
  <si>
    <t>Vápenná omítka hladká jednovrstvá světlíků nebo výtahových šachet nanášená ručně</t>
  </si>
  <si>
    <t>40</t>
  </si>
  <si>
    <t>617321141</t>
  </si>
  <si>
    <t>Vápenocementová omítka štuková dvouvrstvá světlíků nebo výtahových šachet nanášená ručně</t>
  </si>
  <si>
    <t>"pod střešní konstrukcí</t>
  </si>
  <si>
    <t>41</t>
  </si>
  <si>
    <t>617321191</t>
  </si>
  <si>
    <t>Příplatek k vápenocementové omítce světlíků nebo šachet za každých dalších 5 mm tloušťky ručně</t>
  </si>
  <si>
    <t>42</t>
  </si>
  <si>
    <t>619991001S</t>
  </si>
  <si>
    <t>Zakrytí podlah - schodiště geotextilíí přilepenou lepící páskou vč.demontáže</t>
  </si>
  <si>
    <t>"AST-02</t>
  </si>
  <si>
    <t>provizorní ochrana schodiště geotextilií</t>
  </si>
  <si>
    <t>9,0*1,8*4</t>
  </si>
  <si>
    <t>43</t>
  </si>
  <si>
    <t>619991002S</t>
  </si>
  <si>
    <t>Zakrytí podlah prkny vč.demontáže</t>
  </si>
  <si>
    <t>provizorní ochrana chodeb prkny</t>
  </si>
  <si>
    <t>15,0*2,5</t>
  </si>
  <si>
    <t>44</t>
  </si>
  <si>
    <t>622121101</t>
  </si>
  <si>
    <t>Zatření spár cementovou maltou vnějších stěn z cihel</t>
  </si>
  <si>
    <t>(2,29+1,075*4+0,925)*1,0*2</t>
  </si>
  <si>
    <t>45</t>
  </si>
  <si>
    <t>622131111</t>
  </si>
  <si>
    <t>Polymercementový spojovací můstek vnějších stěn nanášený ručně</t>
  </si>
  <si>
    <t>46</t>
  </si>
  <si>
    <t>622131121</t>
  </si>
  <si>
    <t>Penetrace akrylát-silikon vnějších stěn nanášená ručně</t>
  </si>
  <si>
    <t>47</t>
  </si>
  <si>
    <t>622321141</t>
  </si>
  <si>
    <t>Vápenocementová omítka štuková dvouvrstvá vnějších stěn nanášená ručně</t>
  </si>
  <si>
    <t>48</t>
  </si>
  <si>
    <t>622321191</t>
  </si>
  <si>
    <t>Příplatek k vápenocementové omítce vnějších stěn za každých dalších 5 mm tloušťky ručně</t>
  </si>
  <si>
    <t>(2,29+1,075*4+0,925)*1,0*2*2</t>
  </si>
  <si>
    <t>49</t>
  </si>
  <si>
    <t>622611133</t>
  </si>
  <si>
    <t>Nátěr silikonový dvojnásobný vnějších omítaných stěn včetně penetrace provedený ručně</t>
  </si>
  <si>
    <t>(2,29+1,075*4+0,925)*2,0*2</t>
  </si>
  <si>
    <t>50</t>
  </si>
  <si>
    <t>631311134</t>
  </si>
  <si>
    <t>Mazanina tl do 240 mm z betonu prostého tř. C 16/20</t>
  </si>
  <si>
    <t>2,12*1,57*0,2</t>
  </si>
  <si>
    <t>51</t>
  </si>
  <si>
    <t>631319175</t>
  </si>
  <si>
    <t>Příplatek k mazanině tl do 240 mm za stržení povrchu spodní vrstvy před vložením výztuže</t>
  </si>
  <si>
    <t>52</t>
  </si>
  <si>
    <t>631319193</t>
  </si>
  <si>
    <t>Příplatek k mazanině tl do 240 mm za práci v nízkém prostoru</t>
  </si>
  <si>
    <t>53</t>
  </si>
  <si>
    <t>631319197</t>
  </si>
  <si>
    <t>Příplatek k mazanině tl do 240 mm za plochu do 5 m2</t>
  </si>
  <si>
    <t>54</t>
  </si>
  <si>
    <t>631351101</t>
  </si>
  <si>
    <t>Zřízení bednění rýh a hran v podlahách</t>
  </si>
  <si>
    <t>(2,12+1,57)*0,2*2</t>
  </si>
  <si>
    <t>55</t>
  </si>
  <si>
    <t>631351102</t>
  </si>
  <si>
    <t>Odstranění bednění rýh a hran v podlahách</t>
  </si>
  <si>
    <t>56</t>
  </si>
  <si>
    <t>631362021</t>
  </si>
  <si>
    <t>Výztuž mazanin svařovanými sítěmi Kari</t>
  </si>
  <si>
    <t>2,12*1,57*0,007*2</t>
  </si>
  <si>
    <t>57</t>
  </si>
  <si>
    <t>943211112</t>
  </si>
  <si>
    <t>Montáž lešení prostorového rámového lehkého s podlahami zatížení do 200 kg/m2 v do 25 m</t>
  </si>
  <si>
    <t>1,8*1,21*17,0</t>
  </si>
  <si>
    <t>58</t>
  </si>
  <si>
    <t>943211119</t>
  </si>
  <si>
    <t>Příplatek k lešení prostorovému rámovému lehkému s podlahami za půdorysnou plochu do 6 m2</t>
  </si>
  <si>
    <t>59</t>
  </si>
  <si>
    <t>943211212</t>
  </si>
  <si>
    <t>Příplatek k lešení prostorovému rámovému lehkému s podlahami v do 25 m za první a ZKD den použití</t>
  </si>
  <si>
    <t>LP*30</t>
  </si>
  <si>
    <t>60</t>
  </si>
  <si>
    <t>943211812</t>
  </si>
  <si>
    <t>Demontáž lešení prostorového rámového lehkého s podlahami zatížení do 200 kg/m2 v do 25 m</t>
  </si>
  <si>
    <t>61</t>
  </si>
  <si>
    <t>949101112</t>
  </si>
  <si>
    <t>Lešení pomocné pro objekty pozemních staveb s lešeňovou podlahou v do 3,5 m zatížení do 150 kg/m2</t>
  </si>
  <si>
    <t>9,0*1,0*4</t>
  </si>
  <si>
    <t>5,7*1,0*4*2</t>
  </si>
  <si>
    <t>62</t>
  </si>
  <si>
    <t>952901114</t>
  </si>
  <si>
    <t>Vyčištění budov bytové a občanské výstavby při výšce podlaží přes 4 m</t>
  </si>
  <si>
    <t>9,0*1,3*4*4</t>
  </si>
  <si>
    <t>5,7*1,8*4*4</t>
  </si>
  <si>
    <t>600</t>
  </si>
  <si>
    <t>63</t>
  </si>
  <si>
    <t>953943125</t>
  </si>
  <si>
    <t>Osazování výrobků do 120 kg/kus do betonu bez jejich dodání</t>
  </si>
  <si>
    <t>"sloupy</t>
  </si>
  <si>
    <t>64</t>
  </si>
  <si>
    <t>953945143</t>
  </si>
  <si>
    <t>Kotvy mechanické M 16 dl 215 mm pro střední zatížení do betonu, ŽB nebo kamene s vyvrtáním otvoru</t>
  </si>
  <si>
    <t>65</t>
  </si>
  <si>
    <t>962032231</t>
  </si>
  <si>
    <t>Bourání zdiva z cihel pálených nebo vápenopískových na MV nebo MVC</t>
  </si>
  <si>
    <t>(2,29+1,075*4+0,925)*0,3*0,45*2</t>
  </si>
  <si>
    <t>66</t>
  </si>
  <si>
    <t>964072231</t>
  </si>
  <si>
    <t>Vybourání válcovaných nosníků ze zdiva smíšeného dl do 4 m hmotnosti do 35 kg/m</t>
  </si>
  <si>
    <t>1,8*2*3*0,562</t>
  </si>
  <si>
    <t>67</t>
  </si>
  <si>
    <t>965042121</t>
  </si>
  <si>
    <t>Bourání podkladů pod dlažby nebo mazanin betonových nebo z litého asfaltu tl do 100 mm pl do 1 m2</t>
  </si>
  <si>
    <t>1,8*0,2*0,1*4</t>
  </si>
  <si>
    <t>0,6*0,5*2*0,1*4</t>
  </si>
  <si>
    <t>1,5*0,8*0,1*2</t>
  </si>
  <si>
    <t>68</t>
  </si>
  <si>
    <t>965043421</t>
  </si>
  <si>
    <t>Bourání podkladů pod dlažby betonových s potěrem nebo teracem tl do 150 mm pl do 1 m2</t>
  </si>
  <si>
    <t>1,8*0,2*0,15*4</t>
  </si>
  <si>
    <t>0,6*0,5*2*0,15*4</t>
  </si>
  <si>
    <t>1,5*0,8*0,15*2</t>
  </si>
  <si>
    <t>69</t>
  </si>
  <si>
    <t>965082933</t>
  </si>
  <si>
    <t>Odstranění násypů pod podlahy tl do 200 mm pl přes 2 m2</t>
  </si>
  <si>
    <t>"AST-2,4</t>
  </si>
  <si>
    <t>"otvor do půdního prostoru</t>
  </si>
  <si>
    <t>6,15*2,29*0,2</t>
  </si>
  <si>
    <t>1,5*1,08*0,5*0,2*2</t>
  </si>
  <si>
    <t>2,0*0,9*0,2*2</t>
  </si>
  <si>
    <t>2,3*0,75*0,2*2</t>
  </si>
  <si>
    <t>2,9*0,8*0,2*2</t>
  </si>
  <si>
    <t>2,2*0,5*0,2*2</t>
  </si>
  <si>
    <t>70</t>
  </si>
  <si>
    <t>966031314</t>
  </si>
  <si>
    <t>Vybourání částí říms z cihel vyložených do 250 mm tl přes 300 mm</t>
  </si>
  <si>
    <t>(2,29+1,075*4+0,925)*2</t>
  </si>
  <si>
    <t>71</t>
  </si>
  <si>
    <t>967042714</t>
  </si>
  <si>
    <t>Odsekání zdiva z kamene nebo betonu plošné tl do 300 mm</t>
  </si>
  <si>
    <t>1,8*0,2*3</t>
  </si>
  <si>
    <t>72</t>
  </si>
  <si>
    <t>974031285</t>
  </si>
  <si>
    <t>Vysekání rýh ve zdivu cihelném u stropu hl do 300 mm š do 200 mm</t>
  </si>
  <si>
    <t>0,8*2</t>
  </si>
  <si>
    <t>73</t>
  </si>
  <si>
    <t>976071111</t>
  </si>
  <si>
    <t>Vybourání kovových madel a zábradlí</t>
  </si>
  <si>
    <t>"pozn.5</t>
  </si>
  <si>
    <t>"2.n.p.</t>
  </si>
  <si>
    <t>0,8+0,6</t>
  </si>
  <si>
    <t>"3.n.p.</t>
  </si>
  <si>
    <t>0,7+0,8</t>
  </si>
  <si>
    <t>"4.n.p.</t>
  </si>
  <si>
    <t>2,0+0,7</t>
  </si>
  <si>
    <t>74</t>
  </si>
  <si>
    <t>977151214</t>
  </si>
  <si>
    <t>Jádrové vrty dovrchní diamantovými korunkami do D 60 mm do stavebních materiálů</t>
  </si>
  <si>
    <t>"1pp-1np</t>
  </si>
  <si>
    <t>0,5</t>
  </si>
  <si>
    <t>75</t>
  </si>
  <si>
    <t>978012191</t>
  </si>
  <si>
    <t>Otlučení vnitřních omítek MV nebo MVC stropů rákosových o rozsahu do 100 %</t>
  </si>
  <si>
    <t>6,15*2,29</t>
  </si>
  <si>
    <t>1,5*1,08*0,5*2</t>
  </si>
  <si>
    <t>2,0*0,9*2</t>
  </si>
  <si>
    <t>2,3*0,75*2</t>
  </si>
  <si>
    <t>2,9*0,8*2</t>
  </si>
  <si>
    <t>76</t>
  </si>
  <si>
    <t>978013191</t>
  </si>
  <si>
    <t>Otlučení vnitřních omítek stěn MV nebo MVC stěn v rozsahu do 100 %</t>
  </si>
  <si>
    <t>"pro nové konstrukce střechy</t>
  </si>
  <si>
    <t>(2,29+1,075*4+0,925)*2*0,5</t>
  </si>
  <si>
    <t>77</t>
  </si>
  <si>
    <t>978015391</t>
  </si>
  <si>
    <t>Otlučení vnějších omítek MV nebo MVC  průčelí v rozsahu do 100 %</t>
  </si>
  <si>
    <t>(2,29+1,075*4+0,925)*2*0,6</t>
  </si>
  <si>
    <t>78</t>
  </si>
  <si>
    <t>997013215</t>
  </si>
  <si>
    <t>Vnitrostaveništní doprava suti a vybouraných hmot pro budovy v do 18 m ručně</t>
  </si>
  <si>
    <t>79</t>
  </si>
  <si>
    <t>997013501</t>
  </si>
  <si>
    <t>Odvoz suti na skládku a vybouraných hmot nebo meziskládku do 1 km se složením</t>
  </si>
  <si>
    <t>80</t>
  </si>
  <si>
    <t>997013509</t>
  </si>
  <si>
    <t>Příplatek k odvozu suti a vybouraných hmot na skládku ZKD 1 km přes 1 km</t>
  </si>
  <si>
    <t>81</t>
  </si>
  <si>
    <t>997013831</t>
  </si>
  <si>
    <t>Poplatek za uložení stavebního směsného odpadu na skládce (skládkovné)</t>
  </si>
  <si>
    <t>82</t>
  </si>
  <si>
    <t>998018003</t>
  </si>
  <si>
    <t>Přesun hmot ruční pro budovy v do 36 m</t>
  </si>
  <si>
    <t>83</t>
  </si>
  <si>
    <t>713121121</t>
  </si>
  <si>
    <t>Montáž izolace tepelné podlah volně kladenými rohožemi, pásy, dílci, deskami 2 vrstvy</t>
  </si>
  <si>
    <t>6,75*2,29</t>
  </si>
  <si>
    <t>1,8*1,08*0,5*2</t>
  </si>
  <si>
    <t>2,3*0,9*2</t>
  </si>
  <si>
    <t>2,6*0,75*2</t>
  </si>
  <si>
    <t>3,2*0,8*2</t>
  </si>
  <si>
    <t>2,5*0,5*0,2*2</t>
  </si>
  <si>
    <t>84</t>
  </si>
  <si>
    <t>631481050</t>
  </si>
  <si>
    <t>deska minerální izolační  600x1200 mm tl. 120 mm</t>
  </si>
  <si>
    <t>85</t>
  </si>
  <si>
    <t>713131121</t>
  </si>
  <si>
    <t>Montáž izolace tepelné stěn přichycením dráty rohoží, pásů, dílců, desek</t>
  </si>
  <si>
    <t>(2,2+1,21)*1,5*2*2</t>
  </si>
  <si>
    <t>86</t>
  </si>
  <si>
    <t>631509720</t>
  </si>
  <si>
    <t>plsť příčková ISOVER PIANO TWIN 12/6 120 mm 5000x625 mm</t>
  </si>
  <si>
    <t>10,230*2*1,04</t>
  </si>
  <si>
    <t>87</t>
  </si>
  <si>
    <t>713191131</t>
  </si>
  <si>
    <t>Izolace tepelné podlah, stropů vrchem a střech překrytí PE fólií tl. 0,2 mm</t>
  </si>
  <si>
    <t>(2,2+1,21)*1,5*2</t>
  </si>
  <si>
    <t>88</t>
  </si>
  <si>
    <t>998713203</t>
  </si>
  <si>
    <t>Přesun hmot procentní pro izolace tepelné v objektech v do 24 m</t>
  </si>
  <si>
    <t>%</t>
  </si>
  <si>
    <t>89</t>
  </si>
  <si>
    <t>721173401</t>
  </si>
  <si>
    <t>Potrubí kanalizační plastové svodné systém KG DN 100</t>
  </si>
  <si>
    <t>90</t>
  </si>
  <si>
    <t>721273153</t>
  </si>
  <si>
    <t>Hlavice ventilační polypropylen PP DN 110</t>
  </si>
  <si>
    <t>91</t>
  </si>
  <si>
    <t>998721203</t>
  </si>
  <si>
    <t>Přesun hmot procentní pro vnitřní kanalizace v objektech v do 24 m</t>
  </si>
  <si>
    <t>92</t>
  </si>
  <si>
    <t>762083122</t>
  </si>
  <si>
    <t>Impregnace řeziva proti dřevokaznému hmyzu, houbám a plísním máčením třída ohrožení 3 a 4</t>
  </si>
  <si>
    <t>45,566*0,024</t>
  </si>
  <si>
    <t>0,165</t>
  </si>
  <si>
    <t>1,367</t>
  </si>
  <si>
    <t>4,2*0,14*0,18</t>
  </si>
  <si>
    <t>93</t>
  </si>
  <si>
    <t>762331812</t>
  </si>
  <si>
    <t>Demontáž vázaných kcí krovů z hranolů průřezové plochy do 224 cm2</t>
  </si>
  <si>
    <t>"úprava střechy</t>
  </si>
  <si>
    <t>3,5*16</t>
  </si>
  <si>
    <t>94</t>
  </si>
  <si>
    <t>762332131</t>
  </si>
  <si>
    <t>Montáž vázaných kcí krovů pravidelných z hraněného řeziva průřezové plochy do 120 cm2</t>
  </si>
  <si>
    <t>"80x140</t>
  </si>
  <si>
    <t>7,35*2</t>
  </si>
  <si>
    <t>95</t>
  </si>
  <si>
    <t>605120010</t>
  </si>
  <si>
    <t>řezivo jehličnaté hranol jakost I do 120 cm2</t>
  </si>
  <si>
    <t>7,35*2*0,08*0,14</t>
  </si>
  <si>
    <t>0,165*1,05</t>
  </si>
  <si>
    <t>96</t>
  </si>
  <si>
    <t>762332132</t>
  </si>
  <si>
    <t>Montáž vázaných kcí krovů pravidelných z hraněného řeziva průřezové plochy do 224 cm2</t>
  </si>
  <si>
    <t>"100x140</t>
  </si>
  <si>
    <t>(3,4+6,0+7,35*2+3,8*2+4,0*2+3,6*2+3,6*2+3,4*2+3,2+0,5*2)*1,2</t>
  </si>
  <si>
    <t>"120x140</t>
  </si>
  <si>
    <t>"140x140</t>
  </si>
  <si>
    <t>1,0</t>
  </si>
  <si>
    <t>97</t>
  </si>
  <si>
    <t>605120110</t>
  </si>
  <si>
    <t>řezivo jehličnaté hranol jakost I nad 120 cm2</t>
  </si>
  <si>
    <t>(3,4+6,0+7,35*2+3,8*2+4,0*2+3,6*2+3,6*2+3,4*2+3,2+0,5*2)*1,2*0,1*0,14</t>
  </si>
  <si>
    <t>(2,29+1,075*4+0,925)*2*0,12*0,14</t>
  </si>
  <si>
    <t>1,0*0,14*0,14</t>
  </si>
  <si>
    <t>1,367*1,05</t>
  </si>
  <si>
    <t>98</t>
  </si>
  <si>
    <t>762332133</t>
  </si>
  <si>
    <t>Montáž vázaných kcí krovů pravidelných z hraněného řeziva průřezové plochy do 288 cm2</t>
  </si>
  <si>
    <t>"140x180</t>
  </si>
  <si>
    <t>4,2</t>
  </si>
  <si>
    <t>99</t>
  </si>
  <si>
    <t>4,2*0,14*0,18*1,05</t>
  </si>
  <si>
    <t>762341210</t>
  </si>
  <si>
    <t>Montáž bednění střech rovných a šikmých sklonu do 60° z hrubých prken na sraz</t>
  </si>
  <si>
    <t>(3,72+2,29)*0,5*3,37*1,2*2</t>
  </si>
  <si>
    <t>3,14*3,68*3,68*0,5</t>
  </si>
  <si>
    <t>101</t>
  </si>
  <si>
    <t>605151110</t>
  </si>
  <si>
    <t>řezivo jehličnaté boční prkno jakost I.-II. 2 - 3 cm</t>
  </si>
  <si>
    <t>45,566*0,024*1,05</t>
  </si>
  <si>
    <t>102</t>
  </si>
  <si>
    <t>762341811</t>
  </si>
  <si>
    <t>Demontáž bednění střech z prken</t>
  </si>
  <si>
    <t>2,29*3,8*2</t>
  </si>
  <si>
    <t>3,14*1,835*1,835*0,25*2*1,2</t>
  </si>
  <si>
    <t>2,475*2,25*1,2</t>
  </si>
  <si>
    <t>103</t>
  </si>
  <si>
    <t>762395000</t>
  </si>
  <si>
    <t>Spojovací prostředky pro montáž krovu, bednění, laťování, světlíky, klíny</t>
  </si>
  <si>
    <t>104</t>
  </si>
  <si>
    <t>762811811</t>
  </si>
  <si>
    <t>Demontáž záklopů stropů z hrubých prken tl do 32 mm</t>
  </si>
  <si>
    <t>105</t>
  </si>
  <si>
    <t>762822820</t>
  </si>
  <si>
    <t>Demontáž stropních trámů z hraněného řeziva průřezové plochy do 288 cm2</t>
  </si>
  <si>
    <t>6,15*8</t>
  </si>
  <si>
    <t>106</t>
  </si>
  <si>
    <t>762841811</t>
  </si>
  <si>
    <t>Demontáž podbíjení obkladů stropů a střech sklonu do 60° z hrubých prken tl do 35 mm</t>
  </si>
  <si>
    <t>107</t>
  </si>
  <si>
    <t>998762103</t>
  </si>
  <si>
    <t>Přesun hmot tonážní pro kce tesařské v objektech v do 24 m</t>
  </si>
  <si>
    <t>108</t>
  </si>
  <si>
    <t>763111313</t>
  </si>
  <si>
    <t>SDK příčka tl 100 mm profil CW+UW 75 desky 1xA 12,5 bez TI EI 15 Rw</t>
  </si>
  <si>
    <t>"provizorní zakrytí pracovního prostoru nurčeno k demontáži</t>
  </si>
  <si>
    <t>(3,0+1,2*2)*(4,04+3,97+3,6+3,43)</t>
  </si>
  <si>
    <t>-0,6*2,0*4</t>
  </si>
  <si>
    <t>109</t>
  </si>
  <si>
    <t>763111811</t>
  </si>
  <si>
    <t>Demontáž SDK příčky s jednoduchou ocelovou nosnou konstrukcí opláštění jednoduché</t>
  </si>
  <si>
    <t>110</t>
  </si>
  <si>
    <t>763123223</t>
  </si>
  <si>
    <t>SDK stěna předsazená bezpečnostní tl 200 mm 2xplech zdvojený profil CW+UW75 desky 2xDF12,5 TI40 EI45</t>
  </si>
  <si>
    <t>(1,8+1,21)*1,17*2</t>
  </si>
  <si>
    <t>111</t>
  </si>
  <si>
    <t>763131441</t>
  </si>
  <si>
    <t>SDK podhled desky 2xDF 12,5 bez TI dvouvrstvá spodní kce profil CD+UD</t>
  </si>
  <si>
    <t>112</t>
  </si>
  <si>
    <t>763181311</t>
  </si>
  <si>
    <t>Montáž jednokřídlové kovové zárubně v do 2,75 m SDK příčka</t>
  </si>
  <si>
    <t>113</t>
  </si>
  <si>
    <t>553315200</t>
  </si>
  <si>
    <t>zárubeň ocelová pro sádrokarton S 100 600 L/P</t>
  </si>
  <si>
    <t>114</t>
  </si>
  <si>
    <t>763181811</t>
  </si>
  <si>
    <t>Demontáž jednokřídlové kovové zárubně v do 2,75 m SDK příčka</t>
  </si>
  <si>
    <t>115</t>
  </si>
  <si>
    <t>998763303</t>
  </si>
  <si>
    <t>Přesun hmot tonážní pro sádrokartonové konstrukce v objektech v do 24 m</t>
  </si>
  <si>
    <t>116</t>
  </si>
  <si>
    <t>764311201</t>
  </si>
  <si>
    <t>Krytina Pz tl 0,6 mm hladká střešní z tabulí 2000x1000 mm sklonu do 30°</t>
  </si>
  <si>
    <t>117</t>
  </si>
  <si>
    <t>764311822</t>
  </si>
  <si>
    <t>Demontáž krytina hladká tabule 2000x1000 mm sklon do 30° plocha přes 25 m2</t>
  </si>
  <si>
    <t>118</t>
  </si>
  <si>
    <t>764351810</t>
  </si>
  <si>
    <t>Demontáž žlab podokapní hranatý rovný rš 330 mm do 30°</t>
  </si>
  <si>
    <t>119</t>
  </si>
  <si>
    <t>764352203</t>
  </si>
  <si>
    <t>Žlab Pz podokapní půlkruhový rš 330 mm</t>
  </si>
  <si>
    <t>2,29+1,075*8+1,85</t>
  </si>
  <si>
    <t>120</t>
  </si>
  <si>
    <t>764359224</t>
  </si>
  <si>
    <t>Žlab podokapní Pz - kotlík oválný vel. 330/100 mm</t>
  </si>
  <si>
    <t>121</t>
  </si>
  <si>
    <t>764392940</t>
  </si>
  <si>
    <t>Oprava Pz střešní úžlabí rš 500 mm do 30°</t>
  </si>
  <si>
    <t>4,36*2</t>
  </si>
  <si>
    <t>122</t>
  </si>
  <si>
    <t>764454901</t>
  </si>
  <si>
    <t>Oprava Pz odpad trouby kruhové průměr 100 mm</t>
  </si>
  <si>
    <t>123</t>
  </si>
  <si>
    <t>998764103</t>
  </si>
  <si>
    <t>Přesun hmot tonážní pro konstrukce klempířské v objektech v do 24 m</t>
  </si>
  <si>
    <t>124</t>
  </si>
  <si>
    <t>765131001</t>
  </si>
  <si>
    <t>Montáž vláknocementové krytiny do 30°skládané z pravoúhlých formátů jednoduché krytí do 10ks/m2</t>
  </si>
  <si>
    <t>"ostatní</t>
  </si>
  <si>
    <t>6,0</t>
  </si>
  <si>
    <t>125</t>
  </si>
  <si>
    <t>591602150</t>
  </si>
  <si>
    <t>krytina vláknocementová Česká šablona - Betternit šedá 400/400/4 mm</t>
  </si>
  <si>
    <t>126</t>
  </si>
  <si>
    <t>765131851</t>
  </si>
  <si>
    <t>Demontáž vlnité vláknocementové krytiny sklonu do 30° do suti</t>
  </si>
  <si>
    <t>!AST-3,4</t>
  </si>
  <si>
    <t>7,5*0,3*1,15</t>
  </si>
  <si>
    <t>7,5*2,5*0,5*1,15</t>
  </si>
  <si>
    <t>127</t>
  </si>
  <si>
    <t>765131871</t>
  </si>
  <si>
    <t>Demontáž hřebene nebo nároží vlnité vláknocementové krytiny sklonu do 30° do suti</t>
  </si>
  <si>
    <t>128</t>
  </si>
  <si>
    <t>765191001</t>
  </si>
  <si>
    <t>Montáž pojistné hydroizolační fólie kladené ve sklonu do 20° lepením na bednění nebo izolaci</t>
  </si>
  <si>
    <t>129</t>
  </si>
  <si>
    <t>283292230</t>
  </si>
  <si>
    <t>fólie např. Dörken DELTA - TRELA (1,5 x 30 m)</t>
  </si>
  <si>
    <t>130</t>
  </si>
  <si>
    <t>998765103</t>
  </si>
  <si>
    <t>Přesun hmot tonážní pro krytiny skládané v objektech v do 24 m</t>
  </si>
  <si>
    <t>131</t>
  </si>
  <si>
    <t>766660001</t>
  </si>
  <si>
    <t>Montáž dveřních křídel otvíravých 1křídlových š do 0,8 m do ocelové zárubně</t>
  </si>
  <si>
    <t>132</t>
  </si>
  <si>
    <t>611617120</t>
  </si>
  <si>
    <t>dveře vnitřní hladké dýhované plné 1křídlové 60x197 cm buk</t>
  </si>
  <si>
    <t>133</t>
  </si>
  <si>
    <t>766691914</t>
  </si>
  <si>
    <t>Vyvěšení nebo zavěšení dřevěných křídel dveří pl do 2 m2</t>
  </si>
  <si>
    <t>134</t>
  </si>
  <si>
    <t>998766103</t>
  </si>
  <si>
    <t>Přesun hmot tonážní pro konstrukce truhlářské v objektech v do 24 m</t>
  </si>
  <si>
    <t>135</t>
  </si>
  <si>
    <t>767215544</t>
  </si>
  <si>
    <t>D+M úprava styku zábradlí s novou výtahovou šachtou</t>
  </si>
  <si>
    <t>136</t>
  </si>
  <si>
    <t>767995116</t>
  </si>
  <si>
    <t>Montáž atypických zámečnických konstrukcí hmotnosti do 250 kg</t>
  </si>
  <si>
    <t>kg</t>
  </si>
  <si>
    <t>"plotny sloupů</t>
  </si>
  <si>
    <t>0,3*0,3*2*2*4*80</t>
  </si>
  <si>
    <t>(4,6+4,43+4,16+2,3)*2*28,4</t>
  </si>
  <si>
    <t>137</t>
  </si>
  <si>
    <t>136112280</t>
  </si>
  <si>
    <t>plech tlustý hladký jakost S 235 JR, 10x1000x2000 mm</t>
  </si>
  <si>
    <t>0,35*0,3*2*2*4*0,08*1,08</t>
  </si>
  <si>
    <t>138</t>
  </si>
  <si>
    <t>142213040S</t>
  </si>
  <si>
    <t>trubka ocelová bezešvá hladká kruhová ČSN 411353.1 D219 tl 8,0 mm</t>
  </si>
  <si>
    <t>Hmotnost: 51,543 kg/m</t>
  </si>
  <si>
    <t>(4,6+4,43+4,16+2,3)*2</t>
  </si>
  <si>
    <t>139</t>
  </si>
  <si>
    <t>767996701</t>
  </si>
  <si>
    <t>Demontáž atypických zámečnických konstrukcí řezáním hmotnosti jednotlivých dílů do 50 kg</t>
  </si>
  <si>
    <t>1,8*2*3*56</t>
  </si>
  <si>
    <t>140</t>
  </si>
  <si>
    <t>998767203</t>
  </si>
  <si>
    <t>Přesun hmot procentní pro zámečnické konstrukce v objektech v do 24 m</t>
  </si>
  <si>
    <t>141</t>
  </si>
  <si>
    <t>773500910</t>
  </si>
  <si>
    <t>Opravy podlah z litého teraca tl do 30 mm pásů šířky do 150 mm</t>
  </si>
  <si>
    <t>1,8*0,2*4</t>
  </si>
  <si>
    <t>0,6*0,5*2*4</t>
  </si>
  <si>
    <t>1,5*0,8*2</t>
  </si>
  <si>
    <t>142</t>
  </si>
  <si>
    <t>773901111</t>
  </si>
  <si>
    <t>Broušení povrchu litého teraca</t>
  </si>
  <si>
    <t>143</t>
  </si>
  <si>
    <t>998773203</t>
  </si>
  <si>
    <t>Přesun hmot procentní pro podlahy teracové lité v objektech v do 24 m</t>
  </si>
  <si>
    <t>144</t>
  </si>
  <si>
    <t>783225100</t>
  </si>
  <si>
    <t>Nátěry syntetické kovových doplňkových konstrukcí barva standardní dvojnásobné a 1x email</t>
  </si>
  <si>
    <t>"zábradlí</t>
  </si>
  <si>
    <t>8,0*1,2*4</t>
  </si>
  <si>
    <t>2,0*1,2*4</t>
  </si>
  <si>
    <t>145</t>
  </si>
  <si>
    <t>783226100</t>
  </si>
  <si>
    <t>Nátěry syntetické kovových doplňkových konstrukcí barva standardní základní</t>
  </si>
  <si>
    <t>146</t>
  </si>
  <si>
    <t>783595122</t>
  </si>
  <si>
    <t>Nátěry vodou ředitelné klempířských kcí barva standardní mat dvojnásobné a základní antikorozní</t>
  </si>
  <si>
    <t>147</t>
  </si>
  <si>
    <t>78390-01PN</t>
  </si>
  <si>
    <t>Nátěr protipožární ocelových sloupů</t>
  </si>
  <si>
    <t>(4,6+4,43+4,16+2,3)*2*3,14*0,228</t>
  </si>
  <si>
    <t>148</t>
  </si>
  <si>
    <t>784453415</t>
  </si>
  <si>
    <t>Malby směsi JUB tekuté disperzní bílé omyvatelné dvojnásobné s penetrací ve schodišti v do 5 m</t>
  </si>
  <si>
    <t>"schodiště</t>
  </si>
  <si>
    <t>(5,75+1,8*2)*(4,6+4,43+3,6+3,0)</t>
  </si>
  <si>
    <t>9,0*4*(4,6+4,43+3,6+3,0)</t>
  </si>
  <si>
    <t>9,0*3*1,3</t>
  </si>
  <si>
    <t>150</t>
  </si>
  <si>
    <t>149</t>
  </si>
  <si>
    <t>33-M-01</t>
  </si>
  <si>
    <t>Osobní výtah 375 kg/5osob - specifikace viz.příloha rozpočtu (soupisu prací)</t>
  </si>
  <si>
    <t>soubor</t>
  </si>
  <si>
    <t>512</t>
  </si>
  <si>
    <t>33-M-02</t>
  </si>
  <si>
    <t>Opláštění výtahu 1650x1100*15650 - specifikace viz.příloha rozpočtu (soupisu prací)</t>
  </si>
  <si>
    <t>151</t>
  </si>
  <si>
    <t>99099-01</t>
  </si>
  <si>
    <t>D+M hasicí přístroj</t>
  </si>
  <si>
    <t>152</t>
  </si>
  <si>
    <t>99099-02</t>
  </si>
  <si>
    <t>Zábor chodníku</t>
  </si>
  <si>
    <t>21,0*40,0</t>
  </si>
  <si>
    <t>153</t>
  </si>
  <si>
    <t>99099-02K</t>
  </si>
  <si>
    <t>Přistavený kontejner 5dní</t>
  </si>
  <si>
    <t>den</t>
  </si>
  <si>
    <t>154</t>
  </si>
  <si>
    <t>99099-03</t>
  </si>
  <si>
    <t>DIO</t>
  </si>
  <si>
    <t>155</t>
  </si>
  <si>
    <t>99099-04</t>
  </si>
  <si>
    <t>Horolezci na fasádě</t>
  </si>
  <si>
    <t>hod</t>
  </si>
  <si>
    <t>2*3*10</t>
  </si>
  <si>
    <t>156</t>
  </si>
  <si>
    <t>990VRN</t>
  </si>
  <si>
    <t>Soubor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</si>
  <si>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</si>
  <si>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</si>
  <si>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</si>
  <si>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</si>
  <si>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</si>
  <si>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</si>
  <si>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</si>
  <si>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</si>
  <si>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</si>
  <si>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ROZPOČET BYL ZPRACOVÁN V PROGRANU KROS A.S. VERZE 15.70. CÚ 2012-2 ÚRS PRAHA</t>
  </si>
  <si>
    <t>ZŘÍZENÍ VÝTAHU V BUDOVĚ MZE</t>
  </si>
  <si>
    <t>KRYCÍ LIST SOUPISU PRACÍ</t>
  </si>
  <si>
    <t>REKAPITULACE SOUPISU PRACÍ</t>
  </si>
  <si>
    <t>SOUPIS PRACÍ</t>
  </si>
  <si>
    <t>MZE-ČR, TĚŠNOV 65/17, 11705 PRAHA 1</t>
  </si>
  <si>
    <t xml:space="preserve">                       Soupis výkonů/ Leistungverzeichnis</t>
  </si>
  <si>
    <t>STAVEBNÍ ÚPRAVY č.p.59, ul.TYRŠOVA, NÁCHOD</t>
  </si>
  <si>
    <t>090-elektroinstalace</t>
  </si>
  <si>
    <t>katalogové ceny bez DPH</t>
  </si>
  <si>
    <t>Číslo pozice/Nr. Position</t>
  </si>
  <si>
    <t>POPIS VÝKONU/ Beschreibung der Leistungen</t>
  </si>
  <si>
    <t>Měrná jednotka/ Maßeinheit</t>
  </si>
  <si>
    <t>Množství/ Masse</t>
  </si>
  <si>
    <t>Jednotková cena/ Einheitpreis</t>
  </si>
  <si>
    <t>Cena / Betrag</t>
  </si>
  <si>
    <t>REKAPITULACE</t>
  </si>
  <si>
    <t>CELKEM SOUPIS VÝKONŮ</t>
  </si>
  <si>
    <t>Spínací zařízení</t>
  </si>
  <si>
    <t xml:space="preserve">dozbrojení rozváděče </t>
  </si>
  <si>
    <t>jistič PL7-C16/3</t>
  </si>
  <si>
    <t>ks</t>
  </si>
  <si>
    <t xml:space="preserve">podružný materiál  </t>
  </si>
  <si>
    <t>montáž</t>
  </si>
  <si>
    <t>CELKEM</t>
  </si>
  <si>
    <t>Rozvody elektrické energie</t>
  </si>
  <si>
    <t>trubka hliníková KOPOS    6220 AL</t>
  </si>
  <si>
    <t>příchytka hliníková KOPOS  5220 AL</t>
  </si>
  <si>
    <t>hmoždinka vč. vrutu - 8x60</t>
  </si>
  <si>
    <t xml:space="preserve">svorka zemnící ZSA 16                                 </t>
  </si>
  <si>
    <t>páska zemnící úzká ZS 16</t>
  </si>
  <si>
    <r>
      <t xml:space="preserve">samořezný šroub </t>
    </r>
    <r>
      <rPr>
        <sz val="12"/>
        <rFont val="Arial"/>
        <family val="2"/>
      </rPr>
      <t>Ø 6 mm</t>
    </r>
  </si>
  <si>
    <t>CY 2,5 zž</t>
  </si>
  <si>
    <t>CYKY J5x2,5</t>
  </si>
  <si>
    <t>sádra stavební</t>
  </si>
  <si>
    <t>q</t>
  </si>
  <si>
    <t xml:space="preserve">CELKEM </t>
  </si>
  <si>
    <t>podružný materiál       3% z nosného materiálu</t>
  </si>
  <si>
    <t>Montáž rozvodů elektrické energie</t>
  </si>
  <si>
    <t>upevnění ochranné trubky AL</t>
  </si>
  <si>
    <t>tabulky a štítky na kabely</t>
  </si>
  <si>
    <t>uzemnění na povrchu do 50mm2</t>
  </si>
  <si>
    <t>kabel  CYKYLo pod omítkou-do CYKY 5x2.5 PU</t>
  </si>
  <si>
    <t>drát do 25 mm2 pevně ulož.</t>
  </si>
  <si>
    <t>příplatek za zatahování kabelu do 0,7 kg</t>
  </si>
  <si>
    <t>ukončení kabelu do 4x10</t>
  </si>
  <si>
    <t>přetočení kabelu z bubnu</t>
  </si>
  <si>
    <t>Rýha v betonu - hl.3cm š.3cm</t>
  </si>
  <si>
    <t>zkoušky a revize</t>
  </si>
  <si>
    <t>zednické přípomoce     3% z ceny montáže</t>
  </si>
  <si>
    <t>Vypracoval: PROXION s.r.o.</t>
  </si>
  <si>
    <t xml:space="preserve">CELKOVÉ NÁKLADY STAVBY </t>
  </si>
  <si>
    <t>VEDLEJŠÍ ROZPOČTOVÉ NÁKLADY</t>
  </si>
  <si>
    <t>CELKEM ZÁKLADNÍ ROZPOČT. NÁKLADY</t>
  </si>
  <si>
    <t>Elektroinstalace</t>
  </si>
  <si>
    <t>Montáže dopravních zařízení (výtah)</t>
  </si>
  <si>
    <t>Stavební část</t>
  </si>
  <si>
    <t>Název části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</si>
</sst>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.0\ _K_č"/>
    <numFmt numFmtId="170" formatCode="#,##0\ _K_č"/>
    <numFmt numFmtId="171" formatCode="0.0"/>
    <numFmt numFmtId="172" formatCode="#,##0.00;[Red]\-#,##0.00"/>
  </numFmts>
  <fonts count="106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20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i/>
      <sz val="7"/>
      <color indexed="55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b/>
      <sz val="18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24"/>
      <name val="Arial"/>
      <family val="2"/>
    </font>
    <font>
      <sz val="12"/>
      <name val="Arial"/>
      <family val="2"/>
    </font>
    <font>
      <sz val="16"/>
      <name val="Arial Black"/>
      <family val="2"/>
    </font>
    <font>
      <b/>
      <sz val="12"/>
      <name val="Arial"/>
      <family val="2"/>
    </font>
    <font>
      <b/>
      <sz val="12"/>
      <name val="formata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indexed="50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2"/>
      <color indexed="50"/>
      <name val="Arial"/>
      <family val="2"/>
    </font>
    <font>
      <sz val="12"/>
      <name val="formata"/>
      <family val="0"/>
    </font>
    <font>
      <b/>
      <sz val="12"/>
      <color indexed="17"/>
      <name val="Arial"/>
      <family val="2"/>
    </font>
    <font>
      <i/>
      <sz val="14"/>
      <name val="Arial"/>
      <family val="2"/>
    </font>
    <font>
      <sz val="16"/>
      <name val="Arial"/>
      <family val="2"/>
    </font>
    <font>
      <sz val="5"/>
      <name val="Arial"/>
      <family val="2"/>
    </font>
    <font>
      <sz val="10"/>
      <name val="Arial CE"/>
      <family val="0"/>
    </font>
    <font>
      <sz val="10"/>
      <color indexed="12"/>
      <name val="Arial CE"/>
      <family val="0"/>
    </font>
    <font>
      <sz val="14"/>
      <color indexed="12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i/>
      <sz val="12"/>
      <color indexed="3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thin">
        <color indexed="55"/>
      </right>
      <top style="thick">
        <color indexed="55"/>
      </top>
      <bottom style="thick">
        <color indexed="55"/>
      </bottom>
    </border>
    <border>
      <left style="thick">
        <color indexed="55"/>
      </left>
      <right style="thin">
        <color indexed="55"/>
      </right>
      <top style="thick">
        <color indexed="55"/>
      </top>
      <bottom style="thick">
        <color indexed="55"/>
      </bottom>
    </border>
    <border>
      <left>
        <color indexed="63"/>
      </left>
      <right style="thick">
        <color indexed="55"/>
      </right>
      <top style="thick">
        <color indexed="55"/>
      </top>
      <bottom style="thick">
        <color indexed="55"/>
      </bottom>
    </border>
    <border>
      <left>
        <color indexed="63"/>
      </left>
      <right>
        <color indexed="63"/>
      </right>
      <top style="thick">
        <color indexed="55"/>
      </top>
      <bottom style="thick">
        <color indexed="55"/>
      </bottom>
    </border>
    <border>
      <left style="thin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n">
        <color indexed="55"/>
      </left>
      <right style="thin">
        <color indexed="55"/>
      </right>
      <top style="thick">
        <color indexed="55"/>
      </top>
      <bottom style="thick">
        <color indexed="55"/>
      </bottom>
    </border>
    <border>
      <left style="thin">
        <color indexed="55"/>
      </left>
      <right style="thick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ck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ck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ck">
        <color indexed="55"/>
      </right>
      <top style="thick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ck">
        <color indexed="55"/>
      </top>
      <bottom style="medium">
        <color indexed="55"/>
      </bottom>
    </border>
    <border>
      <left style="thick">
        <color indexed="55"/>
      </left>
      <right style="thin">
        <color indexed="55"/>
      </right>
      <top style="thick">
        <color indexed="55"/>
      </top>
      <bottom style="medium">
        <color indexed="55"/>
      </bottom>
    </border>
  </borders>
  <cellStyleXfs count="65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72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20" borderId="0" applyNumberFormat="0" applyBorder="0" applyAlignment="0" applyProtection="0"/>
    <xf numFmtId="0" fontId="9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22" borderId="0" applyNumberFormat="0" applyBorder="0" applyAlignment="0" applyProtection="0"/>
    <xf numFmtId="0" fontId="77" fillId="0" borderId="0">
      <alignment/>
      <protection/>
    </xf>
    <xf numFmtId="0" fontId="7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7" fillId="0" borderId="7" applyNumberFormat="0" applyFill="0" applyAlignment="0" applyProtection="0"/>
    <xf numFmtId="0" fontId="98" fillId="24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25" borderId="8" applyNumberFormat="0" applyAlignment="0" applyProtection="0"/>
    <xf numFmtId="0" fontId="101" fillId="26" borderId="8" applyNumberFormat="0" applyAlignment="0" applyProtection="0"/>
    <xf numFmtId="0" fontId="102" fillId="26" borderId="9" applyNumberFormat="0" applyAlignment="0" applyProtection="0"/>
    <xf numFmtId="0" fontId="103" fillId="0" borderId="0" applyNumberFormat="0" applyFill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87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</cellStyleXfs>
  <cellXfs count="36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7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5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17" fillId="0" borderId="22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167" fontId="17" fillId="0" borderId="0" xfId="0" applyNumberFormat="1" applyFont="1" applyAlignment="1">
      <alignment horizontal="right" vertical="center"/>
    </xf>
    <xf numFmtId="164" fontId="17" fillId="0" borderId="23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164" fontId="23" fillId="0" borderId="24" xfId="0" applyNumberFormat="1" applyFont="1" applyBorder="1" applyAlignment="1">
      <alignment horizontal="right" vertical="center"/>
    </xf>
    <xf numFmtId="164" fontId="23" fillId="0" borderId="25" xfId="0" applyNumberFormat="1" applyFont="1" applyBorder="1" applyAlignment="1">
      <alignment horizontal="right" vertical="center"/>
    </xf>
    <xf numFmtId="167" fontId="23" fillId="0" borderId="25" xfId="0" applyNumberFormat="1" applyFont="1" applyBorder="1" applyAlignment="1">
      <alignment horizontal="right" vertical="center"/>
    </xf>
    <xf numFmtId="164" fontId="23" fillId="0" borderId="26" xfId="0" applyNumberFormat="1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>
      <alignment horizontal="right" vertical="center"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>
      <alignment horizontal="right" vertical="center"/>
    </xf>
    <xf numFmtId="0" fontId="18" fillId="35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7" fillId="35" borderId="18" xfId="0" applyFont="1" applyFill="1" applyBorder="1" applyAlignment="1">
      <alignment horizontal="righ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8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15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15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35" borderId="30" xfId="0" applyFont="1" applyFill="1" applyBorder="1" applyAlignment="1">
      <alignment horizontal="center" vertical="center" wrapText="1"/>
    </xf>
    <xf numFmtId="0" fontId="9" fillId="35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7" fillId="0" borderId="20" xfId="0" applyNumberFormat="1" applyFont="1" applyBorder="1" applyAlignment="1">
      <alignment horizontal="right"/>
    </xf>
    <xf numFmtId="167" fontId="27" fillId="0" borderId="21" xfId="0" applyNumberFormat="1" applyFont="1" applyBorder="1" applyAlignment="1">
      <alignment horizontal="right"/>
    </xf>
    <xf numFmtId="164" fontId="28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3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>
      <alignment horizontal="right" vertical="center"/>
    </xf>
    <xf numFmtId="167" fontId="13" fillId="0" borderId="23" xfId="0" applyNumberFormat="1" applyFont="1" applyBorder="1" applyAlignment="1">
      <alignment horizontal="righ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168" fontId="30" fillId="0" borderId="0" xfId="0" applyNumberFormat="1" applyFont="1" applyAlignment="1">
      <alignment horizontal="right" vertical="center"/>
    </xf>
    <xf numFmtId="0" fontId="30" fillId="0" borderId="14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30" fillId="0" borderId="23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168" fontId="31" fillId="0" borderId="0" xfId="0" applyNumberFormat="1" applyFont="1" applyAlignment="1">
      <alignment horizontal="right" vertical="center"/>
    </xf>
    <xf numFmtId="0" fontId="31" fillId="0" borderId="14" xfId="0" applyFont="1" applyBorder="1" applyAlignment="1">
      <alignment horizontal="left" vertical="center"/>
    </xf>
    <xf numFmtId="0" fontId="31" fillId="0" borderId="22" xfId="0" applyFont="1" applyBorder="1" applyAlignment="1">
      <alignment horizontal="left" vertical="center"/>
    </xf>
    <xf numFmtId="0" fontId="31" fillId="0" borderId="23" xfId="0" applyFont="1" applyBorder="1" applyAlignment="1">
      <alignment horizontal="left" vertical="center"/>
    </xf>
    <xf numFmtId="0" fontId="32" fillId="0" borderId="33" xfId="0" applyFont="1" applyBorder="1" applyAlignment="1">
      <alignment horizontal="center" vertical="center"/>
    </xf>
    <xf numFmtId="49" fontId="32" fillId="0" borderId="33" xfId="0" applyNumberFormat="1" applyFont="1" applyBorder="1" applyAlignment="1">
      <alignment horizontal="left" vertical="center" wrapText="1"/>
    </xf>
    <xf numFmtId="0" fontId="32" fillId="0" borderId="33" xfId="0" applyFont="1" applyBorder="1" applyAlignment="1">
      <alignment horizontal="center" vertical="center" wrapText="1"/>
    </xf>
    <xf numFmtId="168" fontId="32" fillId="0" borderId="33" xfId="0" applyNumberFormat="1" applyFont="1" applyBorder="1" applyAlignment="1">
      <alignment horizontal="right" vertical="center"/>
    </xf>
    <xf numFmtId="168" fontId="0" fillId="34" borderId="33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horizontal="left" vertical="center"/>
    </xf>
    <xf numFmtId="0" fontId="104" fillId="0" borderId="0" xfId="37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105" fillId="33" borderId="0" xfId="37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14" fontId="9" fillId="34" borderId="0" xfId="0" applyNumberFormat="1" applyFont="1" applyFill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164" fontId="11" fillId="0" borderId="0" xfId="0" applyNumberFormat="1" applyFont="1" applyAlignment="1">
      <alignment horizontal="right" vertical="center"/>
    </xf>
    <xf numFmtId="164" fontId="12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0" fontId="7" fillId="35" borderId="18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164" fontId="7" fillId="35" borderId="18" xfId="0" applyNumberFormat="1" applyFont="1" applyFill="1" applyBorder="1" applyAlignment="1">
      <alignment horizontal="right" vertical="center"/>
    </xf>
    <xf numFmtId="0" fontId="0" fillId="35" borderId="36" xfId="0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9" fillId="35" borderId="17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16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164" fontId="24" fillId="34" borderId="0" xfId="0" applyNumberFormat="1" applyFont="1" applyFill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0" fontId="24" fillId="34" borderId="0" xfId="0" applyFont="1" applyFill="1" applyAlignment="1">
      <alignment horizontal="left" vertical="center"/>
    </xf>
    <xf numFmtId="164" fontId="18" fillId="35" borderId="0" xfId="0" applyNumberFormat="1" applyFont="1" applyFill="1" applyAlignment="1">
      <alignment horizontal="right" vertical="center"/>
    </xf>
    <xf numFmtId="0" fontId="0" fillId="35" borderId="0" xfId="0" applyFill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66" fontId="9" fillId="34" borderId="0" xfId="0" applyNumberFormat="1" applyFont="1" applyFill="1" applyAlignment="1">
      <alignment horizontal="left" vertical="top"/>
    </xf>
    <xf numFmtId="164" fontId="13" fillId="0" borderId="0" xfId="0" applyNumberFormat="1" applyFont="1" applyAlignment="1">
      <alignment horizontal="right" vertical="center"/>
    </xf>
    <xf numFmtId="0" fontId="9" fillId="34" borderId="0" xfId="0" applyFont="1" applyFill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166" fontId="9" fillId="0" borderId="0" xfId="0" applyNumberFormat="1" applyFont="1" applyAlignment="1">
      <alignment horizontal="left" vertical="top"/>
    </xf>
    <xf numFmtId="0" fontId="9" fillId="35" borderId="0" xfId="0" applyFont="1" applyFill="1" applyAlignment="1">
      <alignment horizontal="center" vertical="center"/>
    </xf>
    <xf numFmtId="164" fontId="25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9" fillId="35" borderId="31" xfId="0" applyFont="1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34" borderId="33" xfId="0" applyNumberFormat="1" applyFont="1" applyFill="1" applyBorder="1" applyAlignment="1">
      <alignment horizontal="right" vertical="center"/>
    </xf>
    <xf numFmtId="164" fontId="0" fillId="0" borderId="33" xfId="0" applyNumberFormat="1" applyFont="1" applyBorder="1" applyAlignment="1">
      <alignment horizontal="right" vertical="center"/>
    </xf>
    <xf numFmtId="164" fontId="18" fillId="0" borderId="0" xfId="0" applyNumberFormat="1" applyFont="1" applyAlignment="1">
      <alignment horizontal="right"/>
    </xf>
    <xf numFmtId="164" fontId="25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32" fillId="0" borderId="33" xfId="0" applyFont="1" applyBorder="1" applyAlignment="1">
      <alignment horizontal="left" vertical="center" wrapText="1"/>
    </xf>
    <xf numFmtId="0" fontId="32" fillId="0" borderId="33" xfId="0" applyFont="1" applyBorder="1" applyAlignment="1">
      <alignment horizontal="left" vertical="center"/>
    </xf>
    <xf numFmtId="164" fontId="32" fillId="34" borderId="33" xfId="0" applyNumberFormat="1" applyFont="1" applyFill="1" applyBorder="1" applyAlignment="1">
      <alignment horizontal="right" vertical="center"/>
    </xf>
    <xf numFmtId="164" fontId="32" fillId="0" borderId="33" xfId="0" applyNumberFormat="1" applyFont="1" applyBorder="1" applyAlignment="1">
      <alignment horizontal="right" vertical="center"/>
    </xf>
    <xf numFmtId="0" fontId="33" fillId="0" borderId="0" xfId="0" applyFont="1" applyAlignment="1">
      <alignment horizontal="left" vertical="top" wrapText="1"/>
    </xf>
    <xf numFmtId="164" fontId="24" fillId="0" borderId="0" xfId="0" applyNumberFormat="1" applyFont="1" applyAlignment="1">
      <alignment horizontal="right"/>
    </xf>
    <xf numFmtId="164" fontId="25" fillId="0" borderId="20" xfId="0" applyNumberFormat="1" applyFont="1" applyBorder="1" applyAlignment="1">
      <alignment horizontal="right"/>
    </xf>
    <xf numFmtId="0" fontId="105" fillId="33" borderId="0" xfId="37" applyFont="1" applyFill="1" applyAlignment="1" applyProtection="1">
      <alignment horizontal="center" vertical="center"/>
      <protection/>
    </xf>
    <xf numFmtId="0" fontId="54" fillId="0" borderId="37" xfId="0" applyFont="1" applyBorder="1" applyAlignment="1" applyProtection="1">
      <alignment horizontal="center" vertical="center"/>
      <protection/>
    </xf>
    <xf numFmtId="0" fontId="55" fillId="0" borderId="38" xfId="0" applyFont="1" applyBorder="1" applyAlignment="1" applyProtection="1">
      <alignment horizontal="left"/>
      <protection/>
    </xf>
    <xf numFmtId="0" fontId="56" fillId="0" borderId="38" xfId="0" applyFont="1" applyBorder="1" applyAlignment="1" applyProtection="1">
      <alignment horizontal="left"/>
      <protection/>
    </xf>
    <xf numFmtId="169" fontId="57" fillId="0" borderId="38" xfId="0" applyNumberFormat="1" applyFont="1" applyBorder="1" applyAlignment="1" applyProtection="1">
      <alignment horizontal="center"/>
      <protection/>
    </xf>
    <xf numFmtId="4" fontId="57" fillId="0" borderId="38" xfId="0" applyNumberFormat="1" applyFont="1" applyBorder="1" applyAlignment="1" applyProtection="1">
      <alignment horizontal="left"/>
      <protection locked="0"/>
    </xf>
    <xf numFmtId="4" fontId="57" fillId="0" borderId="39" xfId="0" applyNumberFormat="1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58" fillId="0" borderId="40" xfId="0" applyFont="1" applyBorder="1" applyAlignment="1" applyProtection="1">
      <alignment horizontal="center" vertical="center"/>
      <protection/>
    </xf>
    <xf numFmtId="0" fontId="59" fillId="0" borderId="0" xfId="0" applyFont="1" applyBorder="1" applyAlignment="1" applyProtection="1">
      <alignment horizontal="left"/>
      <protection/>
    </xf>
    <xf numFmtId="3" fontId="60" fillId="0" borderId="41" xfId="0" applyNumberFormat="1" applyFont="1" applyBorder="1" applyAlignment="1" applyProtection="1">
      <alignment horizontal="left"/>
      <protection/>
    </xf>
    <xf numFmtId="0" fontId="60" fillId="0" borderId="0" xfId="0" applyFont="1" applyBorder="1" applyAlignment="1" applyProtection="1">
      <alignment horizontal="left"/>
      <protection/>
    </xf>
    <xf numFmtId="169" fontId="60" fillId="0" borderId="42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/>
      <protection/>
    </xf>
    <xf numFmtId="14" fontId="61" fillId="0" borderId="43" xfId="0" applyNumberFormat="1" applyFont="1" applyBorder="1" applyAlignment="1" applyProtection="1">
      <alignment horizontal="center"/>
      <protection/>
    </xf>
    <xf numFmtId="0" fontId="62" fillId="0" borderId="44" xfId="0" applyFont="1" applyBorder="1" applyAlignment="1" applyProtection="1">
      <alignment horizontal="center" vertical="center" wrapText="1"/>
      <protection/>
    </xf>
    <xf numFmtId="0" fontId="63" fillId="0" borderId="45" xfId="0" applyFont="1" applyBorder="1" applyAlignment="1" applyProtection="1">
      <alignment horizontal="center" vertical="center" wrapText="1"/>
      <protection/>
    </xf>
    <xf numFmtId="0" fontId="62" fillId="0" borderId="45" xfId="0" applyFont="1" applyBorder="1" applyAlignment="1" applyProtection="1">
      <alignment horizontal="center" vertical="center" wrapText="1"/>
      <protection/>
    </xf>
    <xf numFmtId="169" fontId="62" fillId="0" borderId="45" xfId="0" applyNumberFormat="1" applyFont="1" applyBorder="1" applyAlignment="1" applyProtection="1">
      <alignment horizontal="center" vertical="center" wrapText="1"/>
      <protection/>
    </xf>
    <xf numFmtId="4" fontId="62" fillId="0" borderId="45" xfId="0" applyNumberFormat="1" applyFont="1" applyBorder="1" applyAlignment="1" applyProtection="1">
      <alignment horizontal="center" vertical="center" wrapText="1"/>
      <protection locked="0"/>
    </xf>
    <xf numFmtId="4" fontId="62" fillId="0" borderId="46" xfId="0" applyNumberFormat="1" applyFont="1" applyBorder="1" applyAlignment="1" applyProtection="1">
      <alignment horizontal="center" vertical="center"/>
      <protection/>
    </xf>
    <xf numFmtId="0" fontId="62" fillId="0" borderId="47" xfId="0" applyFont="1" applyBorder="1" applyAlignment="1" applyProtection="1">
      <alignment horizontal="center" vertical="center" wrapText="1"/>
      <protection/>
    </xf>
    <xf numFmtId="0" fontId="54" fillId="0" borderId="48" xfId="0" applyFont="1" applyBorder="1" applyAlignment="1" applyProtection="1">
      <alignment wrapText="1"/>
      <protection/>
    </xf>
    <xf numFmtId="169" fontId="62" fillId="0" borderId="47" xfId="0" applyNumberFormat="1" applyFont="1" applyBorder="1" applyAlignment="1" applyProtection="1">
      <alignment horizontal="center" vertical="center" wrapText="1"/>
      <protection/>
    </xf>
    <xf numFmtId="170" fontId="62" fillId="0" borderId="47" xfId="0" applyNumberFormat="1" applyFont="1" applyBorder="1" applyAlignment="1" applyProtection="1">
      <alignment horizontal="center" vertical="center" wrapText="1"/>
      <protection locked="0"/>
    </xf>
    <xf numFmtId="41" fontId="62" fillId="0" borderId="47" xfId="0" applyNumberFormat="1" applyFont="1" applyBorder="1" applyAlignment="1" applyProtection="1">
      <alignment horizontal="center" vertical="center"/>
      <protection/>
    </xf>
    <xf numFmtId="0" fontId="62" fillId="0" borderId="49" xfId="0" applyFont="1" applyBorder="1" applyAlignment="1" applyProtection="1">
      <alignment horizontal="center" vertical="center" wrapText="1"/>
      <protection/>
    </xf>
    <xf numFmtId="0" fontId="89" fillId="0" borderId="49" xfId="37" applyBorder="1" applyAlignment="1" applyProtection="1">
      <alignment wrapText="1"/>
      <protection/>
    </xf>
    <xf numFmtId="169" fontId="62" fillId="0" borderId="49" xfId="0" applyNumberFormat="1" applyFont="1" applyBorder="1" applyAlignment="1" applyProtection="1">
      <alignment horizontal="center" vertical="center" wrapText="1"/>
      <protection/>
    </xf>
    <xf numFmtId="170" fontId="62" fillId="0" borderId="49" xfId="0" applyNumberFormat="1" applyFont="1" applyBorder="1" applyAlignment="1" applyProtection="1">
      <alignment horizontal="center" vertical="center" wrapText="1"/>
      <protection locked="0"/>
    </xf>
    <xf numFmtId="37" fontId="64" fillId="0" borderId="49" xfId="0" applyNumberFormat="1" applyFont="1" applyBorder="1" applyAlignment="1" applyProtection="1">
      <alignment horizontal="center" vertical="center"/>
      <protection/>
    </xf>
    <xf numFmtId="0" fontId="65" fillId="33" borderId="50" xfId="0" applyFont="1" applyFill="1" applyBorder="1" applyAlignment="1" applyProtection="1">
      <alignment horizontal="center" vertical="center"/>
      <protection/>
    </xf>
    <xf numFmtId="0" fontId="66" fillId="33" borderId="50" xfId="0" applyFont="1" applyFill="1" applyBorder="1" applyAlignment="1" applyProtection="1">
      <alignment wrapText="1"/>
      <protection/>
    </xf>
    <xf numFmtId="169" fontId="65" fillId="33" borderId="50" xfId="0" applyNumberFormat="1" applyFont="1" applyFill="1" applyBorder="1" applyAlignment="1" applyProtection="1">
      <alignment horizontal="center" vertical="center"/>
      <protection/>
    </xf>
    <xf numFmtId="170" fontId="58" fillId="33" borderId="50" xfId="0" applyNumberFormat="1" applyFont="1" applyFill="1" applyBorder="1" applyAlignment="1" applyProtection="1">
      <alignment horizontal="center" vertical="center"/>
      <protection locked="0"/>
    </xf>
    <xf numFmtId="170" fontId="67" fillId="33" borderId="50" xfId="0" applyNumberFormat="1" applyFont="1" applyFill="1" applyBorder="1" applyAlignment="1" applyProtection="1">
      <alignment horizontal="center" vertical="center"/>
      <protection/>
    </xf>
    <xf numFmtId="0" fontId="62" fillId="0" borderId="51" xfId="0" applyFont="1" applyBorder="1" applyAlignment="1" applyProtection="1">
      <alignment horizontal="center" vertical="center" wrapText="1"/>
      <protection/>
    </xf>
    <xf numFmtId="0" fontId="63" fillId="0" borderId="51" xfId="0" applyFont="1" applyBorder="1" applyAlignment="1" applyProtection="1">
      <alignment horizontal="center" vertical="center" wrapText="1"/>
      <protection/>
    </xf>
    <xf numFmtId="169" fontId="62" fillId="0" borderId="51" xfId="0" applyNumberFormat="1" applyFont="1" applyBorder="1" applyAlignment="1" applyProtection="1">
      <alignment horizontal="center" vertical="center" wrapText="1"/>
      <protection/>
    </xf>
    <xf numFmtId="4" fontId="62" fillId="0" borderId="51" xfId="0" applyNumberFormat="1" applyFont="1" applyBorder="1" applyAlignment="1" applyProtection="1">
      <alignment horizontal="center" vertical="center" wrapText="1"/>
      <protection locked="0"/>
    </xf>
    <xf numFmtId="4" fontId="62" fillId="0" borderId="51" xfId="0" applyNumberFormat="1" applyFont="1" applyBorder="1" applyAlignment="1" applyProtection="1">
      <alignment horizontal="center" vertical="center"/>
      <protection/>
    </xf>
    <xf numFmtId="0" fontId="58" fillId="0" borderId="52" xfId="0" applyFont="1" applyBorder="1" applyAlignment="1" applyProtection="1">
      <alignment horizontal="center" vertical="center"/>
      <protection/>
    </xf>
    <xf numFmtId="0" fontId="56" fillId="0" borderId="53" xfId="0" applyFont="1" applyBorder="1" applyAlignment="1" applyProtection="1">
      <alignment wrapText="1"/>
      <protection/>
    </xf>
    <xf numFmtId="0" fontId="65" fillId="0" borderId="53" xfId="0" applyFont="1" applyBorder="1" applyAlignment="1" applyProtection="1">
      <alignment horizontal="center" vertical="center"/>
      <protection/>
    </xf>
    <xf numFmtId="169" fontId="65" fillId="0" borderId="53" xfId="0" applyNumberFormat="1" applyFont="1" applyBorder="1" applyAlignment="1" applyProtection="1">
      <alignment horizontal="center" vertical="center"/>
      <protection/>
    </xf>
    <xf numFmtId="0" fontId="56" fillId="0" borderId="53" xfId="0" applyFont="1" applyBorder="1" applyAlignment="1" applyProtection="1">
      <alignment horizontal="center" vertical="center"/>
      <protection locked="0"/>
    </xf>
    <xf numFmtId="170" fontId="68" fillId="0" borderId="54" xfId="0" applyNumberFormat="1" applyFont="1" applyBorder="1" applyAlignment="1" applyProtection="1">
      <alignment horizontal="center" vertical="center"/>
      <protection/>
    </xf>
    <xf numFmtId="0" fontId="65" fillId="0" borderId="50" xfId="0" applyFont="1" applyBorder="1" applyAlignment="1" applyProtection="1">
      <alignment horizontal="center" vertical="center"/>
      <protection/>
    </xf>
    <xf numFmtId="0" fontId="60" fillId="0" borderId="50" xfId="0" applyFont="1" applyBorder="1" applyAlignment="1" applyProtection="1">
      <alignment horizontal="center" wrapText="1"/>
      <protection/>
    </xf>
    <xf numFmtId="0" fontId="69" fillId="0" borderId="50" xfId="0" applyFont="1" applyBorder="1" applyAlignment="1" applyProtection="1">
      <alignment/>
      <protection/>
    </xf>
    <xf numFmtId="0" fontId="58" fillId="0" borderId="50" xfId="0" applyFont="1" applyBorder="1" applyAlignment="1" applyProtection="1">
      <alignment horizontal="center"/>
      <protection/>
    </xf>
    <xf numFmtId="0" fontId="58" fillId="0" borderId="50" xfId="0" applyFont="1" applyBorder="1" applyAlignment="1" applyProtection="1">
      <alignment horizontal="left" wrapText="1"/>
      <protection/>
    </xf>
    <xf numFmtId="0" fontId="65" fillId="0" borderId="50" xfId="0" applyFont="1" applyBorder="1" applyAlignment="1" applyProtection="1">
      <alignment horizontal="center"/>
      <protection/>
    </xf>
    <xf numFmtId="0" fontId="58" fillId="0" borderId="50" xfId="0" applyFont="1" applyBorder="1" applyAlignment="1" applyProtection="1">
      <alignment horizontal="right"/>
      <protection/>
    </xf>
    <xf numFmtId="171" fontId="58" fillId="0" borderId="50" xfId="0" applyNumberFormat="1" applyFont="1" applyBorder="1" applyAlignment="1" applyProtection="1">
      <alignment horizontal="right"/>
      <protection/>
    </xf>
    <xf numFmtId="0" fontId="58" fillId="0" borderId="50" xfId="0" applyFont="1" applyBorder="1" applyAlignment="1" applyProtection="1">
      <alignment wrapText="1"/>
      <protection/>
    </xf>
    <xf numFmtId="0" fontId="58" fillId="0" borderId="37" xfId="0" applyFont="1" applyFill="1" applyBorder="1" applyAlignment="1" applyProtection="1">
      <alignment horizontal="center" vertical="center"/>
      <protection/>
    </xf>
    <xf numFmtId="0" fontId="70" fillId="0" borderId="38" xfId="0" applyFont="1" applyFill="1" applyBorder="1" applyAlignment="1" applyProtection="1">
      <alignment wrapText="1"/>
      <protection/>
    </xf>
    <xf numFmtId="0" fontId="58" fillId="0" borderId="38" xfId="0" applyFont="1" applyFill="1" applyBorder="1" applyAlignment="1" applyProtection="1">
      <alignment horizontal="center" vertical="center"/>
      <protection/>
    </xf>
    <xf numFmtId="169" fontId="58" fillId="0" borderId="38" xfId="0" applyNumberFormat="1" applyFont="1" applyFill="1" applyBorder="1" applyAlignment="1" applyProtection="1">
      <alignment horizontal="center" vertical="center"/>
      <protection/>
    </xf>
    <xf numFmtId="170" fontId="58" fillId="0" borderId="38" xfId="0" applyNumberFormat="1" applyFont="1" applyFill="1" applyBorder="1" applyAlignment="1" applyProtection="1">
      <alignment horizontal="center" vertical="center"/>
      <protection locked="0"/>
    </xf>
    <xf numFmtId="170" fontId="71" fillId="0" borderId="39" xfId="0" applyNumberFormat="1" applyFont="1" applyFill="1" applyBorder="1" applyAlignment="1" applyProtection="1">
      <alignment horizontal="center" vertical="center"/>
      <protection/>
    </xf>
    <xf numFmtId="0" fontId="58" fillId="36" borderId="37" xfId="0" applyFont="1" applyFill="1" applyBorder="1" applyAlignment="1" applyProtection="1">
      <alignment horizontal="center" vertical="center"/>
      <protection/>
    </xf>
    <xf numFmtId="0" fontId="70" fillId="36" borderId="38" xfId="0" applyFont="1" applyFill="1" applyBorder="1" applyAlignment="1" applyProtection="1">
      <alignment wrapText="1"/>
      <protection/>
    </xf>
    <xf numFmtId="0" fontId="58" fillId="36" borderId="38" xfId="0" applyFont="1" applyFill="1" applyBorder="1" applyAlignment="1" applyProtection="1">
      <alignment horizontal="center" vertical="center"/>
      <protection/>
    </xf>
    <xf numFmtId="169" fontId="58" fillId="36" borderId="38" xfId="0" applyNumberFormat="1" applyFont="1" applyFill="1" applyBorder="1" applyAlignment="1" applyProtection="1">
      <alignment horizontal="center" vertical="center"/>
      <protection/>
    </xf>
    <xf numFmtId="170" fontId="58" fillId="36" borderId="38" xfId="0" applyNumberFormat="1" applyFont="1" applyFill="1" applyBorder="1" applyAlignment="1" applyProtection="1">
      <alignment horizontal="center" vertical="center"/>
      <protection locked="0"/>
    </xf>
    <xf numFmtId="170" fontId="71" fillId="36" borderId="39" xfId="0" applyNumberFormat="1" applyFont="1" applyFill="1" applyBorder="1" applyAlignment="1" applyProtection="1">
      <alignment horizontal="center" vertical="center"/>
      <protection/>
    </xf>
    <xf numFmtId="0" fontId="65" fillId="0" borderId="52" xfId="0" applyFont="1" applyBorder="1" applyAlignment="1" applyProtection="1">
      <alignment horizontal="center" vertical="center"/>
      <protection/>
    </xf>
    <xf numFmtId="0" fontId="68" fillId="0" borderId="54" xfId="0" applyFont="1" applyFill="1" applyBorder="1" applyAlignment="1" applyProtection="1">
      <alignment horizontal="center" vertical="center"/>
      <protection/>
    </xf>
    <xf numFmtId="0" fontId="58" fillId="0" borderId="50" xfId="49" applyFont="1" applyBorder="1" applyAlignment="1">
      <alignment horizontal="left" wrapText="1"/>
      <protection/>
    </xf>
    <xf numFmtId="0" fontId="65" fillId="0" borderId="50" xfId="49" applyFont="1" applyBorder="1" applyAlignment="1">
      <alignment horizontal="center"/>
      <protection/>
    </xf>
    <xf numFmtId="0" fontId="58" fillId="0" borderId="50" xfId="49" applyFont="1" applyBorder="1" applyAlignment="1">
      <alignment horizontal="right"/>
      <protection/>
    </xf>
    <xf numFmtId="171" fontId="58" fillId="0" borderId="50" xfId="36" applyNumberFormat="1" applyFont="1" applyBorder="1" applyAlignment="1">
      <alignment/>
    </xf>
    <xf numFmtId="171" fontId="58" fillId="0" borderId="50" xfId="49" applyNumberFormat="1" applyFont="1" applyBorder="1" applyAlignment="1">
      <alignment horizontal="right"/>
      <protection/>
    </xf>
    <xf numFmtId="0" fontId="65" fillId="0" borderId="50" xfId="0" applyFont="1" applyBorder="1" applyAlignment="1" applyProtection="1">
      <alignment horizontal="center" vertical="center"/>
      <protection/>
    </xf>
    <xf numFmtId="171" fontId="73" fillId="0" borderId="50" xfId="49" applyNumberFormat="1" applyFont="1" applyBorder="1" applyAlignment="1">
      <alignment horizontal="right"/>
      <protection/>
    </xf>
    <xf numFmtId="0" fontId="0" fillId="0" borderId="0" xfId="0" applyBorder="1" applyAlignment="1" applyProtection="1">
      <alignment vertical="top" wrapText="1"/>
      <protection/>
    </xf>
    <xf numFmtId="0" fontId="65" fillId="0" borderId="52" xfId="0" applyFont="1" applyFill="1" applyBorder="1" applyAlignment="1" applyProtection="1">
      <alignment horizontal="center" vertical="center"/>
      <protection/>
    </xf>
    <xf numFmtId="0" fontId="74" fillId="0" borderId="53" xfId="0" applyFont="1" applyFill="1" applyBorder="1" applyAlignment="1" applyProtection="1">
      <alignment wrapText="1"/>
      <protection/>
    </xf>
    <xf numFmtId="0" fontId="65" fillId="0" borderId="53" xfId="0" applyFont="1" applyFill="1" applyBorder="1" applyAlignment="1" applyProtection="1">
      <alignment horizontal="center" vertical="center"/>
      <protection/>
    </xf>
    <xf numFmtId="169" fontId="65" fillId="0" borderId="53" xfId="0" applyNumberFormat="1" applyFont="1" applyFill="1" applyBorder="1" applyAlignment="1" applyProtection="1">
      <alignment horizontal="center" vertical="center"/>
      <protection/>
    </xf>
    <xf numFmtId="170" fontId="58" fillId="0" borderId="53" xfId="0" applyNumberFormat="1" applyFont="1" applyFill="1" applyBorder="1" applyAlignment="1" applyProtection="1">
      <alignment horizontal="center" vertical="center"/>
      <protection locked="0"/>
    </xf>
    <xf numFmtId="170" fontId="71" fillId="0" borderId="5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65" fillId="36" borderId="55" xfId="0" applyFont="1" applyFill="1" applyBorder="1" applyAlignment="1" applyProtection="1">
      <alignment horizontal="center" vertical="center"/>
      <protection/>
    </xf>
    <xf numFmtId="0" fontId="74" fillId="36" borderId="42" xfId="0" applyFont="1" applyFill="1" applyBorder="1" applyAlignment="1" applyProtection="1">
      <alignment wrapText="1"/>
      <protection/>
    </xf>
    <xf numFmtId="0" fontId="65" fillId="36" borderId="42" xfId="0" applyFont="1" applyFill="1" applyBorder="1" applyAlignment="1" applyProtection="1">
      <alignment horizontal="center" vertical="center"/>
      <protection/>
    </xf>
    <xf numFmtId="169" fontId="65" fillId="36" borderId="42" xfId="0" applyNumberFormat="1" applyFont="1" applyFill="1" applyBorder="1" applyAlignment="1" applyProtection="1">
      <alignment horizontal="center" vertical="center"/>
      <protection/>
    </xf>
    <xf numFmtId="0" fontId="58" fillId="36" borderId="42" xfId="0" applyFont="1" applyFill="1" applyBorder="1" applyAlignment="1" applyProtection="1">
      <alignment horizontal="center" vertical="center"/>
      <protection locked="0"/>
    </xf>
    <xf numFmtId="170" fontId="60" fillId="36" borderId="43" xfId="0" applyNumberFormat="1" applyFont="1" applyFill="1" applyBorder="1" applyAlignment="1" applyProtection="1">
      <alignment horizontal="center" vertical="center"/>
      <protection/>
    </xf>
    <xf numFmtId="171" fontId="58" fillId="0" borderId="50" xfId="36" applyNumberFormat="1" applyFont="1" applyBorder="1" applyAlignment="1">
      <alignment horizontal="right"/>
    </xf>
    <xf numFmtId="1" fontId="0" fillId="0" borderId="50" xfId="0" applyNumberFormat="1" applyBorder="1" applyAlignment="1" applyProtection="1">
      <alignment wrapText="1"/>
      <protection/>
    </xf>
    <xf numFmtId="0" fontId="70" fillId="0" borderId="53" xfId="0" applyFont="1" applyFill="1" applyBorder="1" applyAlignment="1" applyProtection="1">
      <alignment wrapText="1"/>
      <protection/>
    </xf>
    <xf numFmtId="1" fontId="0" fillId="0" borderId="50" xfId="0" applyNumberFormat="1" applyBorder="1" applyAlignment="1" applyProtection="1">
      <alignment horizontal="left" wrapText="1"/>
      <protection/>
    </xf>
    <xf numFmtId="0" fontId="58" fillId="0" borderId="51" xfId="0" applyFont="1" applyFill="1" applyBorder="1" applyAlignment="1" applyProtection="1">
      <alignment horizontal="center" vertical="center"/>
      <protection/>
    </xf>
    <xf numFmtId="0" fontId="75" fillId="0" borderId="51" xfId="0" applyFont="1" applyFill="1" applyBorder="1" applyAlignment="1" applyProtection="1">
      <alignment vertical="center" wrapText="1"/>
      <protection/>
    </xf>
    <xf numFmtId="0" fontId="65" fillId="0" borderId="51" xfId="0" applyFont="1" applyFill="1" applyBorder="1" applyAlignment="1" applyProtection="1">
      <alignment horizontal="center" vertical="center"/>
      <protection/>
    </xf>
    <xf numFmtId="169" fontId="65" fillId="0" borderId="51" xfId="0" applyNumberFormat="1" applyFont="1" applyFill="1" applyBorder="1" applyAlignment="1" applyProtection="1">
      <alignment horizontal="center" vertical="center"/>
      <protection/>
    </xf>
    <xf numFmtId="41" fontId="76" fillId="0" borderId="55" xfId="0" applyNumberFormat="1" applyFont="1" applyFill="1" applyBorder="1" applyAlignment="1" applyProtection="1">
      <alignment horizontal="center" vertical="center"/>
      <protection locked="0"/>
    </xf>
    <xf numFmtId="170" fontId="67" fillId="0" borderId="5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89" fillId="0" borderId="0" xfId="37" applyAlignment="1" applyProtection="1">
      <alignment vertical="center"/>
      <protection/>
    </xf>
    <xf numFmtId="0" fontId="77" fillId="0" borderId="0" xfId="48">
      <alignment/>
      <protection/>
    </xf>
    <xf numFmtId="4" fontId="77" fillId="0" borderId="0" xfId="48" applyNumberFormat="1">
      <alignment/>
      <protection/>
    </xf>
    <xf numFmtId="4" fontId="77" fillId="0" borderId="0" xfId="48" applyNumberFormat="1" applyFill="1">
      <alignment/>
      <protection/>
    </xf>
    <xf numFmtId="0" fontId="77" fillId="0" borderId="0" xfId="48" applyNumberFormat="1" applyFill="1">
      <alignment/>
      <protection/>
    </xf>
    <xf numFmtId="0" fontId="78" fillId="0" borderId="0" xfId="48" applyFont="1">
      <alignment/>
      <protection/>
    </xf>
    <xf numFmtId="4" fontId="77" fillId="0" borderId="0" xfId="48" applyNumberFormat="1" applyFont="1" applyFill="1">
      <alignment/>
      <protection/>
    </xf>
    <xf numFmtId="6" fontId="78" fillId="0" borderId="0" xfId="48" applyNumberFormat="1" applyFont="1">
      <alignment/>
      <protection/>
    </xf>
    <xf numFmtId="4" fontId="78" fillId="0" borderId="0" xfId="48" applyNumberFormat="1" applyFont="1" applyFill="1">
      <alignment/>
      <protection/>
    </xf>
    <xf numFmtId="4" fontId="79" fillId="0" borderId="0" xfId="48" applyNumberFormat="1" applyFont="1" applyFill="1">
      <alignment/>
      <protection/>
    </xf>
    <xf numFmtId="0" fontId="80" fillId="0" borderId="0" xfId="48" applyFont="1">
      <alignment/>
      <protection/>
    </xf>
    <xf numFmtId="6" fontId="80" fillId="0" borderId="0" xfId="48" applyNumberFormat="1" applyFont="1">
      <alignment/>
      <protection/>
    </xf>
    <xf numFmtId="6" fontId="81" fillId="35" borderId="56" xfId="48" applyNumberFormat="1" applyFont="1" applyFill="1" applyBorder="1" applyAlignment="1">
      <alignment horizontal="right" vertical="center" indent="1"/>
      <protection/>
    </xf>
    <xf numFmtId="0" fontId="82" fillId="35" borderId="57" xfId="48" applyFont="1" applyFill="1" applyBorder="1" applyAlignment="1">
      <alignment horizontal="left" vertical="center" indent="1"/>
      <protection/>
    </xf>
    <xf numFmtId="6" fontId="83" fillId="0" borderId="58" xfId="48" applyNumberFormat="1" applyFont="1" applyFill="1" applyBorder="1" applyAlignment="1">
      <alignment horizontal="right" vertical="center" indent="1"/>
      <protection/>
    </xf>
    <xf numFmtId="6" fontId="83" fillId="0" borderId="59" xfId="48" applyNumberFormat="1" applyFont="1" applyFill="1" applyBorder="1" applyAlignment="1">
      <alignment horizontal="right" vertical="center" indent="1"/>
      <protection/>
    </xf>
    <xf numFmtId="0" fontId="81" fillId="0" borderId="57" xfId="48" applyFont="1" applyFill="1" applyBorder="1" applyAlignment="1">
      <alignment horizontal="left" vertical="center" indent="1"/>
      <protection/>
    </xf>
    <xf numFmtId="0" fontId="77" fillId="0" borderId="0" xfId="48" applyFont="1">
      <alignment/>
      <protection/>
    </xf>
    <xf numFmtId="6" fontId="77" fillId="0" borderId="0" xfId="48" applyNumberFormat="1" applyFont="1">
      <alignment/>
      <protection/>
    </xf>
    <xf numFmtId="6" fontId="83" fillId="35" borderId="60" xfId="48" applyNumberFormat="1" applyFont="1" applyFill="1" applyBorder="1" applyAlignment="1">
      <alignment horizontal="right" vertical="center" indent="1"/>
      <protection/>
    </xf>
    <xf numFmtId="6" fontId="83" fillId="35" borderId="61" xfId="48" applyNumberFormat="1" applyFont="1" applyFill="1" applyBorder="1" applyAlignment="1">
      <alignment horizontal="right" vertical="center" indent="1"/>
      <protection/>
    </xf>
    <xf numFmtId="0" fontId="81" fillId="35" borderId="57" xfId="48" applyFont="1" applyFill="1" applyBorder="1" applyAlignment="1">
      <alignment horizontal="left" vertical="center" indent="1"/>
      <protection/>
    </xf>
    <xf numFmtId="0" fontId="78" fillId="0" borderId="0" xfId="48" applyFont="1" applyFill="1">
      <alignment/>
      <protection/>
    </xf>
    <xf numFmtId="6" fontId="84" fillId="0" borderId="62" xfId="48" applyNumberFormat="1" applyFont="1" applyFill="1" applyBorder="1" applyAlignment="1">
      <alignment horizontal="right" vertical="center" indent="1"/>
      <protection/>
    </xf>
    <xf numFmtId="6" fontId="84" fillId="0" borderId="63" xfId="48" applyNumberFormat="1" applyFont="1" applyFill="1" applyBorder="1" applyAlignment="1">
      <alignment horizontal="right" vertical="center" indent="1"/>
      <protection/>
    </xf>
    <xf numFmtId="6" fontId="84" fillId="0" borderId="64" xfId="48" applyNumberFormat="1" applyFont="1" applyFill="1" applyBorder="1" applyAlignment="1">
      <alignment horizontal="right" vertical="center" indent="1"/>
      <protection/>
    </xf>
    <xf numFmtId="0" fontId="84" fillId="0" borderId="65" xfId="48" applyFont="1" applyFill="1" applyBorder="1" applyAlignment="1">
      <alignment horizontal="left" vertical="center" indent="1"/>
      <protection/>
    </xf>
    <xf numFmtId="6" fontId="84" fillId="35" borderId="62" xfId="48" applyNumberFormat="1" applyFont="1" applyFill="1" applyBorder="1" applyAlignment="1">
      <alignment horizontal="right" vertical="center" indent="1"/>
      <protection/>
    </xf>
    <xf numFmtId="6" fontId="84" fillId="35" borderId="64" xfId="48" applyNumberFormat="1" applyFont="1" applyFill="1" applyBorder="1" applyAlignment="1">
      <alignment horizontal="right" vertical="center" indent="1"/>
      <protection/>
    </xf>
    <xf numFmtId="0" fontId="84" fillId="35" borderId="66" xfId="48" applyFont="1" applyFill="1" applyBorder="1" applyAlignment="1">
      <alignment horizontal="left" vertical="center" indent="1"/>
      <protection/>
    </xf>
    <xf numFmtId="0" fontId="84" fillId="0" borderId="67" xfId="48" applyFont="1" applyFill="1" applyBorder="1" applyAlignment="1">
      <alignment horizontal="left" vertical="center" indent="1"/>
      <protection/>
    </xf>
    <xf numFmtId="0" fontId="85" fillId="37" borderId="68" xfId="48" applyFont="1" applyFill="1" applyBorder="1" applyAlignment="1">
      <alignment horizontal="right" vertical="center" wrapText="1" indent="1"/>
      <protection/>
    </xf>
    <xf numFmtId="0" fontId="85" fillId="37" borderId="69" xfId="48" applyFont="1" applyFill="1" applyBorder="1" applyAlignment="1">
      <alignment horizontal="right" vertical="center" wrapText="1" indent="2"/>
      <protection/>
    </xf>
    <xf numFmtId="0" fontId="85" fillId="37" borderId="69" xfId="48" applyFont="1" applyFill="1" applyBorder="1" applyAlignment="1">
      <alignment horizontal="right" vertical="center" wrapText="1" indent="1"/>
      <protection/>
    </xf>
    <xf numFmtId="0" fontId="85" fillId="37" borderId="70" xfId="48" applyFont="1" applyFill="1" applyBorder="1" applyAlignment="1">
      <alignment horizontal="left" vertical="center" inden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čárky_List1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_List1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A95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580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AA95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50</xdr:row>
      <xdr:rowOff>0</xdr:rowOff>
    </xdr:from>
    <xdr:to>
      <xdr:col>35</xdr:col>
      <xdr:colOff>66675</xdr:colOff>
      <xdr:row>54</xdr:row>
      <xdr:rowOff>142875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67250" y="9077325"/>
          <a:ext cx="828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190500</xdr:colOff>
      <xdr:row>49</xdr:row>
      <xdr:rowOff>28575</xdr:rowOff>
    </xdr:from>
    <xdr:to>
      <xdr:col>40</xdr:col>
      <xdr:colOff>19050</xdr:colOff>
      <xdr:row>53</xdr:row>
      <xdr:rowOff>142875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05500" y="8924925"/>
          <a:ext cx="12573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25805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6"/>
  <sheetViews>
    <sheetView showGridLines="0" zoomScalePageLayoutView="0" workbookViewId="0" topLeftCell="A1">
      <pane ySplit="1" topLeftCell="A92" activePane="bottomLeft" state="frozen"/>
      <selection pane="topLeft" activeCell="A1" sqref="A1"/>
      <selection pane="bottomLeft" activeCell="K7" sqref="K7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48" t="s">
        <v>0</v>
      </c>
      <c r="B1" s="149"/>
      <c r="C1" s="149"/>
      <c r="D1" s="150" t="s">
        <v>1</v>
      </c>
      <c r="E1" s="149"/>
      <c r="F1" s="149"/>
      <c r="G1" s="149"/>
      <c r="H1" s="149"/>
      <c r="I1" s="149"/>
      <c r="J1" s="149"/>
      <c r="K1" s="151" t="s">
        <v>799</v>
      </c>
      <c r="L1" s="151"/>
      <c r="M1" s="151"/>
      <c r="N1" s="151"/>
      <c r="O1" s="151"/>
      <c r="P1" s="151"/>
      <c r="Q1" s="151"/>
      <c r="R1" s="151"/>
      <c r="S1" s="151"/>
      <c r="T1" s="149"/>
      <c r="U1" s="149"/>
      <c r="V1" s="149"/>
      <c r="W1" s="151" t="s">
        <v>800</v>
      </c>
      <c r="X1" s="151"/>
      <c r="Y1" s="151"/>
      <c r="Z1" s="151"/>
      <c r="AA1" s="151"/>
      <c r="AB1" s="151"/>
      <c r="AC1" s="151"/>
      <c r="AD1" s="151"/>
      <c r="AE1" s="151"/>
      <c r="AF1" s="151"/>
      <c r="AG1" s="149"/>
      <c r="AH1" s="149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56" t="s">
        <v>4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R2" s="188" t="s">
        <v>5</v>
      </c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58" t="s">
        <v>9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1"/>
      <c r="AS4" s="12" t="s">
        <v>10</v>
      </c>
      <c r="BE4" s="13" t="s">
        <v>11</v>
      </c>
      <c r="BS4" s="6" t="s">
        <v>12</v>
      </c>
    </row>
    <row r="5" spans="2:71" s="2" customFormat="1" ht="7.5" customHeight="1">
      <c r="B5" s="10"/>
      <c r="AQ5" s="11"/>
      <c r="BE5" s="159" t="s">
        <v>13</v>
      </c>
      <c r="BS5" s="6" t="s">
        <v>6</v>
      </c>
    </row>
    <row r="6" spans="2:71" s="2" customFormat="1" ht="26.25" customHeight="1">
      <c r="B6" s="10"/>
      <c r="D6" s="14" t="s">
        <v>14</v>
      </c>
      <c r="K6" s="162" t="s">
        <v>807</v>
      </c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Q6" s="11"/>
      <c r="BE6" s="157"/>
      <c r="BS6" s="6" t="s">
        <v>15</v>
      </c>
    </row>
    <row r="7" spans="2:71" s="2" customFormat="1" ht="7.5" customHeight="1">
      <c r="B7" s="10"/>
      <c r="AQ7" s="11"/>
      <c r="BE7" s="157"/>
      <c r="BS7" s="6" t="s">
        <v>16</v>
      </c>
    </row>
    <row r="8" spans="2:71" s="2" customFormat="1" ht="15" customHeight="1">
      <c r="B8" s="10"/>
      <c r="D8" s="15" t="s">
        <v>17</v>
      </c>
      <c r="K8" s="16" t="s">
        <v>18</v>
      </c>
      <c r="AK8" s="15" t="s">
        <v>19</v>
      </c>
      <c r="AN8" s="153">
        <v>41394</v>
      </c>
      <c r="AQ8" s="11"/>
      <c r="BE8" s="157"/>
      <c r="BS8" s="6" t="s">
        <v>20</v>
      </c>
    </row>
    <row r="9" spans="2:71" s="2" customFormat="1" ht="15" customHeight="1">
      <c r="B9" s="10"/>
      <c r="AQ9" s="11"/>
      <c r="BE9" s="157"/>
      <c r="BS9" s="6" t="s">
        <v>21</v>
      </c>
    </row>
    <row r="10" spans="2:71" s="2" customFormat="1" ht="15" customHeight="1">
      <c r="B10" s="10"/>
      <c r="D10" s="15" t="s">
        <v>22</v>
      </c>
      <c r="AK10" s="15" t="s">
        <v>23</v>
      </c>
      <c r="AN10" s="16"/>
      <c r="AQ10" s="11"/>
      <c r="BE10" s="157"/>
      <c r="BS10" s="6" t="s">
        <v>15</v>
      </c>
    </row>
    <row r="11" spans="2:71" s="2" customFormat="1" ht="19.5" customHeight="1">
      <c r="B11" s="10"/>
      <c r="E11" s="16" t="s">
        <v>24</v>
      </c>
      <c r="AK11" s="15" t="s">
        <v>25</v>
      </c>
      <c r="AN11" s="16"/>
      <c r="AQ11" s="11"/>
      <c r="BE11" s="157"/>
      <c r="BS11" s="6" t="s">
        <v>15</v>
      </c>
    </row>
    <row r="12" spans="2:71" s="2" customFormat="1" ht="7.5" customHeight="1">
      <c r="B12" s="10"/>
      <c r="AQ12" s="11"/>
      <c r="BE12" s="157"/>
      <c r="BS12" s="6" t="s">
        <v>15</v>
      </c>
    </row>
    <row r="13" spans="2:71" s="2" customFormat="1" ht="15" customHeight="1">
      <c r="B13" s="10"/>
      <c r="D13" s="15" t="s">
        <v>26</v>
      </c>
      <c r="AK13" s="15" t="s">
        <v>23</v>
      </c>
      <c r="AN13" s="17" t="s">
        <v>27</v>
      </c>
      <c r="AQ13" s="11"/>
      <c r="BE13" s="157"/>
      <c r="BS13" s="6" t="s">
        <v>15</v>
      </c>
    </row>
    <row r="14" spans="2:71" s="2" customFormat="1" ht="15.75" customHeight="1">
      <c r="B14" s="10"/>
      <c r="E14" s="163" t="s">
        <v>27</v>
      </c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" t="s">
        <v>25</v>
      </c>
      <c r="AN14" s="17" t="s">
        <v>27</v>
      </c>
      <c r="AQ14" s="11"/>
      <c r="BE14" s="157"/>
      <c r="BS14" s="6" t="s">
        <v>15</v>
      </c>
    </row>
    <row r="15" spans="2:71" s="2" customFormat="1" ht="7.5" customHeight="1">
      <c r="B15" s="10"/>
      <c r="AQ15" s="11"/>
      <c r="BE15" s="157"/>
      <c r="BS15" s="6" t="s">
        <v>3</v>
      </c>
    </row>
    <row r="16" spans="2:71" s="2" customFormat="1" ht="15" customHeight="1">
      <c r="B16" s="10"/>
      <c r="D16" s="15" t="s">
        <v>28</v>
      </c>
      <c r="AK16" s="15" t="s">
        <v>23</v>
      </c>
      <c r="AN16" s="16"/>
      <c r="AQ16" s="11"/>
      <c r="BE16" s="157"/>
      <c r="BS16" s="6" t="s">
        <v>3</v>
      </c>
    </row>
    <row r="17" spans="2:71" s="2" customFormat="1" ht="19.5" customHeight="1">
      <c r="B17" s="10"/>
      <c r="E17" s="16" t="s">
        <v>29</v>
      </c>
      <c r="AK17" s="15" t="s">
        <v>25</v>
      </c>
      <c r="AN17" s="16"/>
      <c r="AQ17" s="11"/>
      <c r="BE17" s="157"/>
      <c r="BS17" s="6" t="s">
        <v>30</v>
      </c>
    </row>
    <row r="18" spans="2:71" s="2" customFormat="1" ht="7.5" customHeight="1">
      <c r="B18" s="10"/>
      <c r="AQ18" s="11"/>
      <c r="BE18" s="157"/>
      <c r="BS18" s="6" t="s">
        <v>6</v>
      </c>
    </row>
    <row r="19" spans="2:71" s="2" customFormat="1" ht="15" customHeight="1">
      <c r="B19" s="10"/>
      <c r="D19" s="15" t="s">
        <v>31</v>
      </c>
      <c r="AK19" s="15" t="s">
        <v>23</v>
      </c>
      <c r="AN19" s="16"/>
      <c r="AQ19" s="11"/>
      <c r="BE19" s="157"/>
      <c r="BS19" s="6" t="s">
        <v>15</v>
      </c>
    </row>
    <row r="20" spans="2:57" s="2" customFormat="1" ht="19.5" customHeight="1">
      <c r="B20" s="10"/>
      <c r="E20" s="16" t="s">
        <v>32</v>
      </c>
      <c r="AK20" s="15" t="s">
        <v>25</v>
      </c>
      <c r="AN20" s="16"/>
      <c r="AQ20" s="11"/>
      <c r="BE20" s="157"/>
    </row>
    <row r="21" spans="2:57" s="2" customFormat="1" ht="7.5" customHeight="1">
      <c r="B21" s="10"/>
      <c r="AQ21" s="11"/>
      <c r="BE21" s="157"/>
    </row>
    <row r="22" spans="2:57" s="2" customFormat="1" ht="7.5" customHeight="1">
      <c r="B22" s="10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Q22" s="11"/>
      <c r="BE22" s="157"/>
    </row>
    <row r="23" spans="2:57" s="2" customFormat="1" ht="15" customHeight="1">
      <c r="B23" s="10"/>
      <c r="D23" s="19" t="s">
        <v>33</v>
      </c>
      <c r="AK23" s="164">
        <f>ROUNDUP($AG$87,2)</f>
        <v>0</v>
      </c>
      <c r="AL23" s="157"/>
      <c r="AM23" s="157"/>
      <c r="AN23" s="157"/>
      <c r="AO23" s="157"/>
      <c r="AQ23" s="11"/>
      <c r="BE23" s="157"/>
    </row>
    <row r="24" spans="2:57" s="2" customFormat="1" ht="15" customHeight="1">
      <c r="B24" s="10"/>
      <c r="D24" s="19" t="s">
        <v>34</v>
      </c>
      <c r="AK24" s="164">
        <f>ROUNDUP($AG$90,2)</f>
        <v>0</v>
      </c>
      <c r="AL24" s="157"/>
      <c r="AM24" s="157"/>
      <c r="AN24" s="157"/>
      <c r="AO24" s="157"/>
      <c r="AQ24" s="11"/>
      <c r="BE24" s="157"/>
    </row>
    <row r="25" spans="2:57" s="6" customFormat="1" ht="7.5" customHeight="1">
      <c r="B25" s="20"/>
      <c r="AQ25" s="21"/>
      <c r="BE25" s="160"/>
    </row>
    <row r="26" spans="2:57" s="6" customFormat="1" ht="27" customHeight="1">
      <c r="B26" s="20"/>
      <c r="D26" s="22" t="s">
        <v>35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165">
        <f>ROUNDUP($AK$23+$AK$24,2)</f>
        <v>0</v>
      </c>
      <c r="AL26" s="166"/>
      <c r="AM26" s="166"/>
      <c r="AN26" s="166"/>
      <c r="AO26" s="166"/>
      <c r="AQ26" s="21"/>
      <c r="BE26" s="160"/>
    </row>
    <row r="27" spans="2:57" s="6" customFormat="1" ht="7.5" customHeight="1">
      <c r="B27" s="20"/>
      <c r="AQ27" s="21"/>
      <c r="BE27" s="160"/>
    </row>
    <row r="28" spans="2:57" s="6" customFormat="1" ht="15" customHeight="1">
      <c r="B28" s="24"/>
      <c r="D28" s="25" t="s">
        <v>36</v>
      </c>
      <c r="F28" s="25" t="s">
        <v>37</v>
      </c>
      <c r="L28" s="167">
        <v>0.21</v>
      </c>
      <c r="M28" s="161"/>
      <c r="N28" s="161"/>
      <c r="O28" s="161"/>
      <c r="T28" s="27" t="s">
        <v>38</v>
      </c>
      <c r="W28" s="168">
        <f>ROUNDUP($AZ$87+SUM($CD$91:$CD$104),2)</f>
        <v>0</v>
      </c>
      <c r="X28" s="161"/>
      <c r="Y28" s="161"/>
      <c r="Z28" s="161"/>
      <c r="AA28" s="161"/>
      <c r="AB28" s="161"/>
      <c r="AC28" s="161"/>
      <c r="AD28" s="161"/>
      <c r="AE28" s="161"/>
      <c r="AK28" s="168">
        <f>ROUNDUP($AV$87+SUM($BY$91:$BY$104),1)</f>
        <v>0</v>
      </c>
      <c r="AL28" s="161"/>
      <c r="AM28" s="161"/>
      <c r="AN28" s="161"/>
      <c r="AO28" s="161"/>
      <c r="AQ28" s="28"/>
      <c r="BE28" s="161"/>
    </row>
    <row r="29" spans="2:57" s="6" customFormat="1" ht="15" customHeight="1">
      <c r="B29" s="24"/>
      <c r="F29" s="25" t="s">
        <v>39</v>
      </c>
      <c r="L29" s="167">
        <v>0.15</v>
      </c>
      <c r="M29" s="161"/>
      <c r="N29" s="161"/>
      <c r="O29" s="161"/>
      <c r="T29" s="27" t="s">
        <v>38</v>
      </c>
      <c r="W29" s="168">
        <f>ROUNDUP($BA$87+SUM($CE$91:$CE$104),2)</f>
        <v>0</v>
      </c>
      <c r="X29" s="161"/>
      <c r="Y29" s="161"/>
      <c r="Z29" s="161"/>
      <c r="AA29" s="161"/>
      <c r="AB29" s="161"/>
      <c r="AC29" s="161"/>
      <c r="AD29" s="161"/>
      <c r="AE29" s="161"/>
      <c r="AK29" s="168">
        <f>ROUNDUP($AW$87+SUM($BZ$91:$BZ$104),1)</f>
        <v>0</v>
      </c>
      <c r="AL29" s="161"/>
      <c r="AM29" s="161"/>
      <c r="AN29" s="161"/>
      <c r="AO29" s="161"/>
      <c r="AQ29" s="28"/>
      <c r="BE29" s="161"/>
    </row>
    <row r="30" spans="2:57" s="6" customFormat="1" ht="15" customHeight="1" hidden="1">
      <c r="B30" s="24"/>
      <c r="F30" s="25" t="s">
        <v>40</v>
      </c>
      <c r="L30" s="167">
        <v>0.21</v>
      </c>
      <c r="M30" s="161"/>
      <c r="N30" s="161"/>
      <c r="O30" s="161"/>
      <c r="T30" s="27" t="s">
        <v>38</v>
      </c>
      <c r="W30" s="168">
        <f>ROUNDUP($BB$87+SUM($CF$91:$CF$104),2)</f>
        <v>0</v>
      </c>
      <c r="X30" s="161"/>
      <c r="Y30" s="161"/>
      <c r="Z30" s="161"/>
      <c r="AA30" s="161"/>
      <c r="AB30" s="161"/>
      <c r="AC30" s="161"/>
      <c r="AD30" s="161"/>
      <c r="AE30" s="161"/>
      <c r="AK30" s="168">
        <v>0</v>
      </c>
      <c r="AL30" s="161"/>
      <c r="AM30" s="161"/>
      <c r="AN30" s="161"/>
      <c r="AO30" s="161"/>
      <c r="AQ30" s="28"/>
      <c r="BE30" s="161"/>
    </row>
    <row r="31" spans="2:57" s="6" customFormat="1" ht="15" customHeight="1" hidden="1">
      <c r="B31" s="24"/>
      <c r="F31" s="25" t="s">
        <v>41</v>
      </c>
      <c r="L31" s="167">
        <v>0.15</v>
      </c>
      <c r="M31" s="161"/>
      <c r="N31" s="161"/>
      <c r="O31" s="161"/>
      <c r="T31" s="27" t="s">
        <v>38</v>
      </c>
      <c r="W31" s="168">
        <f>ROUNDUP($BC$87+SUM($CG$91:$CG$104),2)</f>
        <v>0</v>
      </c>
      <c r="X31" s="161"/>
      <c r="Y31" s="161"/>
      <c r="Z31" s="161"/>
      <c r="AA31" s="161"/>
      <c r="AB31" s="161"/>
      <c r="AC31" s="161"/>
      <c r="AD31" s="161"/>
      <c r="AE31" s="161"/>
      <c r="AK31" s="168">
        <v>0</v>
      </c>
      <c r="AL31" s="161"/>
      <c r="AM31" s="161"/>
      <c r="AN31" s="161"/>
      <c r="AO31" s="161"/>
      <c r="AQ31" s="28"/>
      <c r="BE31" s="161"/>
    </row>
    <row r="32" spans="2:57" s="6" customFormat="1" ht="15" customHeight="1" hidden="1">
      <c r="B32" s="24"/>
      <c r="F32" s="25" t="s">
        <v>42</v>
      </c>
      <c r="L32" s="167">
        <v>0</v>
      </c>
      <c r="M32" s="161"/>
      <c r="N32" s="161"/>
      <c r="O32" s="161"/>
      <c r="T32" s="27" t="s">
        <v>38</v>
      </c>
      <c r="W32" s="168">
        <f>ROUNDUP($BD$87+SUM($CH$91:$CH$104),2)</f>
        <v>0</v>
      </c>
      <c r="X32" s="161"/>
      <c r="Y32" s="161"/>
      <c r="Z32" s="161"/>
      <c r="AA32" s="161"/>
      <c r="AB32" s="161"/>
      <c r="AC32" s="161"/>
      <c r="AD32" s="161"/>
      <c r="AE32" s="161"/>
      <c r="AK32" s="168">
        <v>0</v>
      </c>
      <c r="AL32" s="161"/>
      <c r="AM32" s="161"/>
      <c r="AN32" s="161"/>
      <c r="AO32" s="161"/>
      <c r="AQ32" s="28"/>
      <c r="BE32" s="161"/>
    </row>
    <row r="33" spans="2:57" s="6" customFormat="1" ht="7.5" customHeight="1">
      <c r="B33" s="20"/>
      <c r="AQ33" s="21"/>
      <c r="BE33" s="160"/>
    </row>
    <row r="34" spans="2:57" s="6" customFormat="1" ht="27" customHeight="1">
      <c r="B34" s="20"/>
      <c r="C34" s="29"/>
      <c r="D34" s="30" t="s">
        <v>43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 t="s">
        <v>44</v>
      </c>
      <c r="U34" s="31"/>
      <c r="V34" s="31"/>
      <c r="W34" s="31"/>
      <c r="X34" s="169" t="s">
        <v>45</v>
      </c>
      <c r="Y34" s="170"/>
      <c r="Z34" s="170"/>
      <c r="AA34" s="170"/>
      <c r="AB34" s="170"/>
      <c r="AC34" s="31"/>
      <c r="AD34" s="31"/>
      <c r="AE34" s="31"/>
      <c r="AF34" s="31"/>
      <c r="AG34" s="31"/>
      <c r="AH34" s="31"/>
      <c r="AI34" s="31"/>
      <c r="AJ34" s="31"/>
      <c r="AK34" s="171">
        <f>ROUNDUP(SUM($AK$26:$AK$32),2)</f>
        <v>0</v>
      </c>
      <c r="AL34" s="170"/>
      <c r="AM34" s="170"/>
      <c r="AN34" s="170"/>
      <c r="AO34" s="172"/>
      <c r="AP34" s="29"/>
      <c r="AQ34" s="21"/>
      <c r="BE34" s="160"/>
    </row>
    <row r="35" spans="2:43" s="6" customFormat="1" ht="15" customHeight="1">
      <c r="B35" s="20"/>
      <c r="AQ35" s="21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F47" s="154" t="s">
        <v>806</v>
      </c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20"/>
      <c r="D49" s="33" t="s">
        <v>46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5"/>
      <c r="AC49" s="33" t="s">
        <v>47</v>
      </c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5"/>
      <c r="AQ49" s="21"/>
    </row>
    <row r="50" spans="2:43" s="2" customFormat="1" ht="14.25" customHeight="1">
      <c r="B50" s="10"/>
      <c r="D50" s="36"/>
      <c r="Z50" s="37"/>
      <c r="AC50" s="36"/>
      <c r="AO50" s="37"/>
      <c r="AQ50" s="11"/>
    </row>
    <row r="51" spans="2:43" s="2" customFormat="1" ht="14.25" customHeight="1">
      <c r="B51" s="10"/>
      <c r="D51" s="36"/>
      <c r="Z51" s="37"/>
      <c r="AC51" s="36"/>
      <c r="AO51" s="37"/>
      <c r="AQ51" s="11"/>
    </row>
    <row r="52" spans="2:43" s="2" customFormat="1" ht="14.25" customHeight="1">
      <c r="B52" s="10"/>
      <c r="D52" s="36"/>
      <c r="Z52" s="37"/>
      <c r="AC52" s="36"/>
      <c r="AO52" s="37"/>
      <c r="AQ52" s="11"/>
    </row>
    <row r="53" spans="2:43" s="2" customFormat="1" ht="14.25" customHeight="1">
      <c r="B53" s="10"/>
      <c r="D53" s="36"/>
      <c r="Z53" s="37"/>
      <c r="AC53" s="36"/>
      <c r="AO53" s="37"/>
      <c r="AQ53" s="11"/>
    </row>
    <row r="54" spans="2:43" s="2" customFormat="1" ht="14.25" customHeight="1">
      <c r="B54" s="10"/>
      <c r="D54" s="36"/>
      <c r="Z54" s="37"/>
      <c r="AC54" s="36"/>
      <c r="AO54" s="37"/>
      <c r="AQ54" s="11"/>
    </row>
    <row r="55" spans="2:43" s="2" customFormat="1" ht="14.25" customHeight="1">
      <c r="B55" s="10"/>
      <c r="D55" s="36"/>
      <c r="Z55" s="37"/>
      <c r="AC55" s="36"/>
      <c r="AO55" s="37"/>
      <c r="AQ55" s="11"/>
    </row>
    <row r="56" spans="2:43" s="2" customFormat="1" ht="14.25" customHeight="1">
      <c r="B56" s="10"/>
      <c r="D56" s="36"/>
      <c r="Z56" s="37"/>
      <c r="AC56" s="36"/>
      <c r="AO56" s="37"/>
      <c r="AQ56" s="11"/>
    </row>
    <row r="57" spans="2:43" s="2" customFormat="1" ht="14.25" customHeight="1">
      <c r="B57" s="10"/>
      <c r="D57" s="36"/>
      <c r="Z57" s="37"/>
      <c r="AC57" s="36"/>
      <c r="AO57" s="37"/>
      <c r="AQ57" s="11"/>
    </row>
    <row r="58" spans="2:43" s="6" customFormat="1" ht="15.75" customHeight="1">
      <c r="B58" s="20"/>
      <c r="D58" s="38" t="s">
        <v>48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40" t="s">
        <v>49</v>
      </c>
      <c r="S58" s="39"/>
      <c r="T58" s="39"/>
      <c r="U58" s="39"/>
      <c r="V58" s="39"/>
      <c r="W58" s="39"/>
      <c r="X58" s="39"/>
      <c r="Y58" s="39"/>
      <c r="Z58" s="41"/>
      <c r="AC58" s="38" t="s">
        <v>48</v>
      </c>
      <c r="AD58" s="39"/>
      <c r="AE58" s="39"/>
      <c r="AF58" s="39"/>
      <c r="AG58" s="39"/>
      <c r="AH58" s="39"/>
      <c r="AI58" s="39"/>
      <c r="AJ58" s="39"/>
      <c r="AK58" s="39"/>
      <c r="AL58" s="39"/>
      <c r="AM58" s="40" t="s">
        <v>49</v>
      </c>
      <c r="AN58" s="39"/>
      <c r="AO58" s="41"/>
      <c r="AQ58" s="21"/>
    </row>
    <row r="59" spans="2:43" s="2" customFormat="1" ht="14.25" customHeight="1">
      <c r="B59" s="10"/>
      <c r="AQ59" s="11"/>
    </row>
    <row r="60" spans="2:43" s="6" customFormat="1" ht="15.75" customHeight="1">
      <c r="B60" s="20"/>
      <c r="D60" s="33" t="s">
        <v>50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5"/>
      <c r="AC60" s="33" t="s">
        <v>51</v>
      </c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5"/>
      <c r="AQ60" s="21"/>
    </row>
    <row r="61" spans="2:43" s="2" customFormat="1" ht="14.25" customHeight="1">
      <c r="B61" s="10"/>
      <c r="D61" s="36"/>
      <c r="Z61" s="37"/>
      <c r="AC61" s="36"/>
      <c r="AO61" s="37"/>
      <c r="AQ61" s="11"/>
    </row>
    <row r="62" spans="2:43" s="2" customFormat="1" ht="14.25" customHeight="1">
      <c r="B62" s="10"/>
      <c r="D62" s="36"/>
      <c r="Z62" s="37"/>
      <c r="AC62" s="36"/>
      <c r="AO62" s="37"/>
      <c r="AQ62" s="11"/>
    </row>
    <row r="63" spans="2:43" s="2" customFormat="1" ht="14.25" customHeight="1">
      <c r="B63" s="10"/>
      <c r="D63" s="36"/>
      <c r="Z63" s="37"/>
      <c r="AC63" s="36"/>
      <c r="AO63" s="37"/>
      <c r="AQ63" s="11"/>
    </row>
    <row r="64" spans="2:43" s="2" customFormat="1" ht="14.25" customHeight="1">
      <c r="B64" s="10"/>
      <c r="D64" s="36"/>
      <c r="Z64" s="37"/>
      <c r="AC64" s="36"/>
      <c r="AO64" s="37"/>
      <c r="AQ64" s="11"/>
    </row>
    <row r="65" spans="2:43" s="2" customFormat="1" ht="14.25" customHeight="1">
      <c r="B65" s="10"/>
      <c r="D65" s="36"/>
      <c r="Z65" s="37"/>
      <c r="AC65" s="36"/>
      <c r="AO65" s="37"/>
      <c r="AQ65" s="11"/>
    </row>
    <row r="66" spans="2:43" s="2" customFormat="1" ht="14.25" customHeight="1">
      <c r="B66" s="10"/>
      <c r="D66" s="36"/>
      <c r="Z66" s="37"/>
      <c r="AC66" s="36"/>
      <c r="AO66" s="37"/>
      <c r="AQ66" s="11"/>
    </row>
    <row r="67" spans="2:43" s="2" customFormat="1" ht="14.25" customHeight="1">
      <c r="B67" s="10"/>
      <c r="D67" s="36"/>
      <c r="Z67" s="37"/>
      <c r="AC67" s="36"/>
      <c r="AO67" s="37"/>
      <c r="AQ67" s="11"/>
    </row>
    <row r="68" spans="2:43" s="2" customFormat="1" ht="14.25" customHeight="1">
      <c r="B68" s="10"/>
      <c r="D68" s="36"/>
      <c r="Z68" s="37"/>
      <c r="AC68" s="36"/>
      <c r="AO68" s="37"/>
      <c r="AQ68" s="11"/>
    </row>
    <row r="69" spans="2:43" s="6" customFormat="1" ht="15.75" customHeight="1">
      <c r="B69" s="20"/>
      <c r="D69" s="38" t="s">
        <v>48</v>
      </c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40" t="s">
        <v>49</v>
      </c>
      <c r="S69" s="39"/>
      <c r="T69" s="39"/>
      <c r="U69" s="39"/>
      <c r="V69" s="39"/>
      <c r="W69" s="39"/>
      <c r="X69" s="39"/>
      <c r="Y69" s="39"/>
      <c r="Z69" s="41"/>
      <c r="AC69" s="38" t="s">
        <v>48</v>
      </c>
      <c r="AD69" s="39"/>
      <c r="AE69" s="39"/>
      <c r="AF69" s="39"/>
      <c r="AG69" s="39"/>
      <c r="AH69" s="39"/>
      <c r="AI69" s="39"/>
      <c r="AJ69" s="39"/>
      <c r="AK69" s="39"/>
      <c r="AL69" s="39"/>
      <c r="AM69" s="40" t="s">
        <v>49</v>
      </c>
      <c r="AN69" s="39"/>
      <c r="AO69" s="41"/>
      <c r="AQ69" s="21"/>
    </row>
    <row r="70" spans="2:43" s="6" customFormat="1" ht="7.5" customHeight="1">
      <c r="B70" s="20"/>
      <c r="AQ70" s="21"/>
    </row>
    <row r="71" spans="2:43" s="6" customFormat="1" ht="7.5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4"/>
    </row>
    <row r="75" spans="2:43" s="6" customFormat="1" ht="7.5" customHeight="1"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7"/>
    </row>
    <row r="76" spans="2:43" s="6" customFormat="1" ht="37.5" customHeight="1">
      <c r="B76" s="20"/>
      <c r="C76" s="158" t="s">
        <v>52</v>
      </c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21"/>
    </row>
    <row r="77" spans="2:43" s="6" customFormat="1" ht="7.5" customHeight="1">
      <c r="B77" s="20"/>
      <c r="AQ77" s="21"/>
    </row>
    <row r="78" spans="2:43" s="14" customFormat="1" ht="27" customHeight="1">
      <c r="B78" s="48"/>
      <c r="C78" s="14" t="s">
        <v>14</v>
      </c>
      <c r="L78" s="162" t="str">
        <f>$K$6</f>
        <v>ZŘÍZENÍ VÝTAHU V BUDOVĚ MZE</v>
      </c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160"/>
      <c r="AN78" s="160"/>
      <c r="AO78" s="160"/>
      <c r="AQ78" s="49"/>
    </row>
    <row r="79" spans="2:43" s="6" customFormat="1" ht="7.5" customHeight="1">
      <c r="B79" s="20"/>
      <c r="AQ79" s="21"/>
    </row>
    <row r="80" spans="2:43" s="6" customFormat="1" ht="15.75" customHeight="1">
      <c r="B80" s="20"/>
      <c r="C80" s="15" t="s">
        <v>17</v>
      </c>
      <c r="L80" s="50" t="str">
        <f>IF($K$8="","",$K$8)</f>
        <v>Tyršova č.p. 59</v>
      </c>
      <c r="AI80" s="15" t="s">
        <v>19</v>
      </c>
      <c r="AM80" s="153"/>
      <c r="AN80" s="153">
        <v>41394</v>
      </c>
      <c r="AQ80" s="21"/>
    </row>
    <row r="81" spans="2:43" s="6" customFormat="1" ht="7.5" customHeight="1">
      <c r="B81" s="20"/>
      <c r="AQ81" s="21"/>
    </row>
    <row r="82" spans="2:56" s="6" customFormat="1" ht="18.75" customHeight="1">
      <c r="B82" s="20"/>
      <c r="C82" s="15" t="s">
        <v>22</v>
      </c>
      <c r="L82" s="16" t="str">
        <f>IF($E$11="","",$E$11)</f>
        <v>MZE ČR,Těšnov 65,Nové Město-Praha 1</v>
      </c>
      <c r="AI82" s="15" t="s">
        <v>28</v>
      </c>
      <c r="AM82" s="173" t="str">
        <f>IF($E$17="","",$E$17)</f>
        <v>Proxion s r.o. Náchod</v>
      </c>
      <c r="AN82" s="160"/>
      <c r="AO82" s="160"/>
      <c r="AP82" s="160"/>
      <c r="AQ82" s="21"/>
      <c r="AS82" s="174" t="s">
        <v>53</v>
      </c>
      <c r="AT82" s="175"/>
      <c r="AU82" s="34"/>
      <c r="AV82" s="34"/>
      <c r="AW82" s="34"/>
      <c r="AX82" s="34"/>
      <c r="AY82" s="34"/>
      <c r="AZ82" s="34"/>
      <c r="BA82" s="34"/>
      <c r="BB82" s="34"/>
      <c r="BC82" s="34"/>
      <c r="BD82" s="35"/>
    </row>
    <row r="83" spans="2:56" s="6" customFormat="1" ht="15.75" customHeight="1">
      <c r="B83" s="20"/>
      <c r="C83" s="15" t="s">
        <v>26</v>
      </c>
      <c r="L83" s="16">
        <f>IF($E$14="Vyplň údaj","",$E$14)</f>
      </c>
      <c r="AI83" s="15" t="s">
        <v>31</v>
      </c>
      <c r="AM83" s="173" t="str">
        <f>IF($E$20="","",$E$20)</f>
        <v>Ivan Mezera</v>
      </c>
      <c r="AN83" s="160"/>
      <c r="AO83" s="160"/>
      <c r="AP83" s="160"/>
      <c r="AQ83" s="21"/>
      <c r="AS83" s="176"/>
      <c r="AT83" s="160"/>
      <c r="BD83" s="52"/>
    </row>
    <row r="84" spans="2:56" s="6" customFormat="1" ht="12" customHeight="1">
      <c r="B84" s="20"/>
      <c r="AQ84" s="21"/>
      <c r="AS84" s="176"/>
      <c r="AT84" s="160"/>
      <c r="BD84" s="52"/>
    </row>
    <row r="85" spans="2:57" s="6" customFormat="1" ht="30" customHeight="1">
      <c r="B85" s="20"/>
      <c r="C85" s="177" t="s">
        <v>54</v>
      </c>
      <c r="D85" s="170"/>
      <c r="E85" s="170"/>
      <c r="F85" s="170"/>
      <c r="G85" s="170"/>
      <c r="H85" s="31"/>
      <c r="I85" s="178" t="s">
        <v>55</v>
      </c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0"/>
      <c r="Y85" s="170"/>
      <c r="Z85" s="170"/>
      <c r="AA85" s="170"/>
      <c r="AB85" s="170"/>
      <c r="AC85" s="170"/>
      <c r="AD85" s="170"/>
      <c r="AE85" s="170"/>
      <c r="AF85" s="170"/>
      <c r="AG85" s="178" t="s">
        <v>56</v>
      </c>
      <c r="AH85" s="170"/>
      <c r="AI85" s="170"/>
      <c r="AJ85" s="170"/>
      <c r="AK85" s="170"/>
      <c r="AL85" s="170"/>
      <c r="AM85" s="170"/>
      <c r="AN85" s="178" t="s">
        <v>57</v>
      </c>
      <c r="AO85" s="170"/>
      <c r="AP85" s="172"/>
      <c r="AQ85" s="21"/>
      <c r="AS85" s="53" t="s">
        <v>58</v>
      </c>
      <c r="AT85" s="54" t="s">
        <v>59</v>
      </c>
      <c r="AU85" s="54" t="s">
        <v>60</v>
      </c>
      <c r="AV85" s="54" t="s">
        <v>61</v>
      </c>
      <c r="AW85" s="54" t="s">
        <v>62</v>
      </c>
      <c r="AX85" s="54" t="s">
        <v>63</v>
      </c>
      <c r="AY85" s="54" t="s">
        <v>64</v>
      </c>
      <c r="AZ85" s="54" t="s">
        <v>65</v>
      </c>
      <c r="BA85" s="54" t="s">
        <v>66</v>
      </c>
      <c r="BB85" s="54" t="s">
        <v>67</v>
      </c>
      <c r="BC85" s="54" t="s">
        <v>68</v>
      </c>
      <c r="BD85" s="55" t="s">
        <v>69</v>
      </c>
      <c r="BE85" s="56"/>
    </row>
    <row r="86" spans="2:56" s="6" customFormat="1" ht="12" customHeight="1">
      <c r="B86" s="20"/>
      <c r="AQ86" s="21"/>
      <c r="AS86" s="57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5"/>
    </row>
    <row r="87" spans="2:76" s="14" customFormat="1" ht="33" customHeight="1">
      <c r="B87" s="48"/>
      <c r="C87" s="58" t="s">
        <v>70</v>
      </c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189">
        <f>ROUNDUP($AG$88,2)</f>
        <v>0</v>
      </c>
      <c r="AH87" s="190"/>
      <c r="AI87" s="190"/>
      <c r="AJ87" s="190"/>
      <c r="AK87" s="190"/>
      <c r="AL87" s="190"/>
      <c r="AM87" s="190"/>
      <c r="AN87" s="189">
        <f>ROUNDUP(SUM($AG$87,$AT$87),2)</f>
        <v>0</v>
      </c>
      <c r="AO87" s="190"/>
      <c r="AP87" s="190"/>
      <c r="AQ87" s="49"/>
      <c r="AS87" s="59">
        <f>ROUNDUP($AS$88,2)</f>
        <v>0</v>
      </c>
      <c r="AT87" s="60">
        <f>ROUNDUP(SUM($AV$87:$AY$87),1)</f>
        <v>0</v>
      </c>
      <c r="AU87" s="61">
        <f>ROUNDUP($AU$88,5)</f>
        <v>1760.20275</v>
      </c>
      <c r="AV87" s="60">
        <f>ROUNDUP($AZ$87*$L$28,2)</f>
        <v>0</v>
      </c>
      <c r="AW87" s="60">
        <f>ROUNDUP($BA$87*$L$29,2)</f>
        <v>0</v>
      </c>
      <c r="AX87" s="60">
        <f>ROUNDUP($BB$87*$L$28,2)</f>
        <v>0</v>
      </c>
      <c r="AY87" s="60">
        <f>ROUNDUP($BC$87*$L$29,2)</f>
        <v>0</v>
      </c>
      <c r="AZ87" s="60">
        <f>ROUNDUP($AZ$88,2)</f>
        <v>0</v>
      </c>
      <c r="BA87" s="60">
        <f>ROUNDUP($BA$88,2)</f>
        <v>0</v>
      </c>
      <c r="BB87" s="60">
        <f>ROUNDUP($BB$88,2)</f>
        <v>0</v>
      </c>
      <c r="BC87" s="60">
        <f>ROUNDUP($BC$88,2)</f>
        <v>0</v>
      </c>
      <c r="BD87" s="62">
        <f>ROUNDUP($BD$88,2)</f>
        <v>0</v>
      </c>
      <c r="BS87" s="14" t="s">
        <v>71</v>
      </c>
      <c r="BT87" s="14" t="s">
        <v>72</v>
      </c>
      <c r="BU87" s="63" t="s">
        <v>73</v>
      </c>
      <c r="BV87" s="14" t="s">
        <v>74</v>
      </c>
      <c r="BW87" s="14" t="s">
        <v>75</v>
      </c>
      <c r="BX87" s="14" t="s">
        <v>76</v>
      </c>
    </row>
    <row r="88" spans="1:76" s="64" customFormat="1" ht="28.5" customHeight="1">
      <c r="A88" s="147" t="s">
        <v>801</v>
      </c>
      <c r="B88" s="65"/>
      <c r="C88" s="66"/>
      <c r="D88" s="181" t="s">
        <v>77</v>
      </c>
      <c r="E88" s="182"/>
      <c r="F88" s="182"/>
      <c r="G88" s="182"/>
      <c r="H88" s="182"/>
      <c r="I88" s="66"/>
      <c r="J88" s="181" t="s">
        <v>78</v>
      </c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79">
        <f>Položky!$M$27</f>
        <v>0</v>
      </c>
      <c r="AH88" s="180"/>
      <c r="AI88" s="180"/>
      <c r="AJ88" s="180"/>
      <c r="AK88" s="180"/>
      <c r="AL88" s="180"/>
      <c r="AM88" s="180"/>
      <c r="AN88" s="179">
        <f>ROUNDUP(SUM($AG$88,$AT$88),2)</f>
        <v>0</v>
      </c>
      <c r="AO88" s="180"/>
      <c r="AP88" s="180"/>
      <c r="AQ88" s="67"/>
      <c r="AS88" s="68">
        <f>Položky!$M$25</f>
        <v>0</v>
      </c>
      <c r="AT88" s="69">
        <f>ROUNDUP(SUM($AV$88:$AY$88),1)</f>
        <v>0</v>
      </c>
      <c r="AU88" s="70">
        <f>Položky!$W$138</f>
        <v>1760.202746</v>
      </c>
      <c r="AV88" s="69">
        <f>Položky!$M$29</f>
        <v>0</v>
      </c>
      <c r="AW88" s="69">
        <f>Položky!$M$30</f>
        <v>0</v>
      </c>
      <c r="AX88" s="69">
        <f>Položky!$M$31</f>
        <v>0</v>
      </c>
      <c r="AY88" s="69">
        <f>Položky!$M$32</f>
        <v>0</v>
      </c>
      <c r="AZ88" s="69">
        <f>Položky!$H$29</f>
        <v>0</v>
      </c>
      <c r="BA88" s="69">
        <f>Položky!$H$30</f>
        <v>0</v>
      </c>
      <c r="BB88" s="69">
        <f>Položky!$H$31</f>
        <v>0</v>
      </c>
      <c r="BC88" s="69">
        <f>Položky!$H$32</f>
        <v>0</v>
      </c>
      <c r="BD88" s="71">
        <f>Položky!$H$33</f>
        <v>0</v>
      </c>
      <c r="BT88" s="64" t="s">
        <v>16</v>
      </c>
      <c r="BV88" s="64" t="s">
        <v>74</v>
      </c>
      <c r="BW88" s="64" t="s">
        <v>79</v>
      </c>
      <c r="BX88" s="64" t="s">
        <v>75</v>
      </c>
    </row>
    <row r="89" spans="2:43" s="2" customFormat="1" ht="14.25" customHeight="1">
      <c r="B89" s="10"/>
      <c r="AQ89" s="11"/>
    </row>
    <row r="90" spans="2:49" s="6" customFormat="1" ht="30.75" customHeight="1">
      <c r="B90" s="20"/>
      <c r="C90" s="58" t="s">
        <v>80</v>
      </c>
      <c r="AG90" s="189">
        <f>ROUNDUP(SUM($AG$91:$AG$103),2)</f>
        <v>0</v>
      </c>
      <c r="AH90" s="160"/>
      <c r="AI90" s="160"/>
      <c r="AJ90" s="160"/>
      <c r="AK90" s="160"/>
      <c r="AL90" s="160"/>
      <c r="AM90" s="160"/>
      <c r="AN90" s="189">
        <f>ROUNDUP(SUM($AN$91:$AN$103),2)</f>
        <v>0</v>
      </c>
      <c r="AO90" s="160"/>
      <c r="AP90" s="160"/>
      <c r="AQ90" s="21"/>
      <c r="AS90" s="53" t="s">
        <v>81</v>
      </c>
      <c r="AT90" s="54" t="s">
        <v>82</v>
      </c>
      <c r="AU90" s="54" t="s">
        <v>36</v>
      </c>
      <c r="AV90" s="55" t="s">
        <v>59</v>
      </c>
      <c r="AW90" s="56"/>
    </row>
    <row r="91" spans="2:89" s="6" customFormat="1" ht="21" customHeight="1">
      <c r="B91" s="20"/>
      <c r="D91" s="72" t="s">
        <v>83</v>
      </c>
      <c r="AG91" s="183">
        <f>ROUNDUP($AG$87*$AS$91,2)</f>
        <v>0</v>
      </c>
      <c r="AH91" s="160"/>
      <c r="AI91" s="160"/>
      <c r="AJ91" s="160"/>
      <c r="AK91" s="160"/>
      <c r="AL91" s="160"/>
      <c r="AM91" s="160"/>
      <c r="AN91" s="184">
        <f>ROUNDUP($AG$91+$AV$91,2)</f>
        <v>0</v>
      </c>
      <c r="AO91" s="160"/>
      <c r="AP91" s="160"/>
      <c r="AQ91" s="21"/>
      <c r="AS91" s="73">
        <v>0</v>
      </c>
      <c r="AT91" s="74" t="s">
        <v>84</v>
      </c>
      <c r="AU91" s="74" t="s">
        <v>37</v>
      </c>
      <c r="AV91" s="75">
        <f>ROUNDUP(IF($AU$91="základní",$AG$91*$L$28,IF($AU$91="snížená",$AG$91*$L$29,0)),2)</f>
        <v>0</v>
      </c>
      <c r="BV91" s="6" t="s">
        <v>85</v>
      </c>
      <c r="BY91" s="76">
        <f>IF($AU$91="základní",$AV$91,0)</f>
        <v>0</v>
      </c>
      <c r="BZ91" s="76">
        <f>IF($AU$91="snížená",$AV$91,0)</f>
        <v>0</v>
      </c>
      <c r="CA91" s="76">
        <v>0</v>
      </c>
      <c r="CB91" s="76">
        <v>0</v>
      </c>
      <c r="CC91" s="76">
        <v>0</v>
      </c>
      <c r="CD91" s="76">
        <f>IF($AU$91="základní",$AG$91,0)</f>
        <v>0</v>
      </c>
      <c r="CE91" s="76">
        <f>IF($AU$91="snížená",$AG$91,0)</f>
        <v>0</v>
      </c>
      <c r="CF91" s="76">
        <f>IF($AU$91="zákl. přenesená",$AG$91,0)</f>
        <v>0</v>
      </c>
      <c r="CG91" s="76">
        <f>IF($AU$91="sníž. přenesená",$AG$91,0)</f>
        <v>0</v>
      </c>
      <c r="CH91" s="76">
        <f>IF($AU$91="nulová",$AG$91,0)</f>
        <v>0</v>
      </c>
      <c r="CI91" s="6">
        <f>IF($AU$91="základní",1,IF($AU$91="snížená",2,IF($AU$91="zákl. přenesená",4,IF($AU$91="sníž. přenesená",5,3))))</f>
        <v>1</v>
      </c>
      <c r="CJ91" s="6">
        <f>IF($AT$91="stavební čast",1,IF(8891="investiční čast",2,3))</f>
        <v>1</v>
      </c>
      <c r="CK91" s="6" t="str">
        <f>IF($D$91="Vyplň vlastní","","x")</f>
        <v>x</v>
      </c>
    </row>
    <row r="92" spans="2:89" s="6" customFormat="1" ht="21" customHeight="1">
      <c r="B92" s="20"/>
      <c r="D92" s="72" t="s">
        <v>86</v>
      </c>
      <c r="AG92" s="183">
        <f>ROUNDUP($AG$87*$AS$92,2)</f>
        <v>0</v>
      </c>
      <c r="AH92" s="160"/>
      <c r="AI92" s="160"/>
      <c r="AJ92" s="160"/>
      <c r="AK92" s="160"/>
      <c r="AL92" s="160"/>
      <c r="AM92" s="160"/>
      <c r="AN92" s="184">
        <f>ROUNDUP($AG$92+$AV$92,2)</f>
        <v>0</v>
      </c>
      <c r="AO92" s="160"/>
      <c r="AP92" s="160"/>
      <c r="AQ92" s="21"/>
      <c r="AS92" s="77">
        <v>0</v>
      </c>
      <c r="AT92" s="78" t="s">
        <v>84</v>
      </c>
      <c r="AU92" s="78" t="s">
        <v>37</v>
      </c>
      <c r="AV92" s="79">
        <f>ROUNDUP(IF($AU$92="základní",$AG$92*$L$28,IF($AU$92="snížená",$AG$92*$L$29,0)),2)</f>
        <v>0</v>
      </c>
      <c r="BV92" s="6" t="s">
        <v>85</v>
      </c>
      <c r="BY92" s="76">
        <f>IF($AU$92="základní",$AV$92,0)</f>
        <v>0</v>
      </c>
      <c r="BZ92" s="76">
        <f>IF($AU$92="snížená",$AV$92,0)</f>
        <v>0</v>
      </c>
      <c r="CA92" s="76">
        <v>0</v>
      </c>
      <c r="CB92" s="76">
        <v>0</v>
      </c>
      <c r="CC92" s="76">
        <v>0</v>
      </c>
      <c r="CD92" s="76">
        <f>IF($AU$92="základní",$AG$92,0)</f>
        <v>0</v>
      </c>
      <c r="CE92" s="76">
        <f>IF($AU$92="snížená",$AG$92,0)</f>
        <v>0</v>
      </c>
      <c r="CF92" s="76">
        <f>IF($AU$92="zákl. přenesená",$AG$92,0)</f>
        <v>0</v>
      </c>
      <c r="CG92" s="76">
        <f>IF($AU$92="sníž. přenesená",$AG$92,0)</f>
        <v>0</v>
      </c>
      <c r="CH92" s="76">
        <f>IF($AU$92="nulová",$AG$92,0)</f>
        <v>0</v>
      </c>
      <c r="CI92" s="6">
        <f>IF($AU$92="základní",1,IF($AU$92="snížená",2,IF($AU$92="zákl. přenesená",4,IF($AU$92="sníž. přenesená",5,3))))</f>
        <v>1</v>
      </c>
      <c r="CJ92" s="6">
        <f>IF($AT$92="stavební čast",1,IF(8892="investiční čast",2,3))</f>
        <v>1</v>
      </c>
      <c r="CK92" s="6" t="str">
        <f>IF($D$92="Vyplň vlastní","","x")</f>
        <v>x</v>
      </c>
    </row>
    <row r="93" spans="2:89" s="6" customFormat="1" ht="21" customHeight="1">
      <c r="B93" s="20"/>
      <c r="D93" s="72" t="s">
        <v>87</v>
      </c>
      <c r="AG93" s="183">
        <f>ROUNDUP($AG$87*$AS$93,2)</f>
        <v>0</v>
      </c>
      <c r="AH93" s="160"/>
      <c r="AI93" s="160"/>
      <c r="AJ93" s="160"/>
      <c r="AK93" s="160"/>
      <c r="AL93" s="160"/>
      <c r="AM93" s="160"/>
      <c r="AN93" s="184">
        <f>ROUNDUP($AG$93+$AV$93,2)</f>
        <v>0</v>
      </c>
      <c r="AO93" s="160"/>
      <c r="AP93" s="160"/>
      <c r="AQ93" s="21"/>
      <c r="AS93" s="77">
        <v>0</v>
      </c>
      <c r="AT93" s="78" t="s">
        <v>84</v>
      </c>
      <c r="AU93" s="78" t="s">
        <v>37</v>
      </c>
      <c r="AV93" s="79">
        <f>ROUNDUP(IF($AU$93="základní",$AG$93*$L$28,IF($AU$93="snížená",$AG$93*$L$29,0)),2)</f>
        <v>0</v>
      </c>
      <c r="BV93" s="6" t="s">
        <v>85</v>
      </c>
      <c r="BY93" s="76">
        <f>IF($AU$93="základní",$AV$93,0)</f>
        <v>0</v>
      </c>
      <c r="BZ93" s="76">
        <f>IF($AU$93="snížená",$AV$93,0)</f>
        <v>0</v>
      </c>
      <c r="CA93" s="76">
        <v>0</v>
      </c>
      <c r="CB93" s="76">
        <v>0</v>
      </c>
      <c r="CC93" s="76">
        <v>0</v>
      </c>
      <c r="CD93" s="76">
        <f>IF($AU$93="základní",$AG$93,0)</f>
        <v>0</v>
      </c>
      <c r="CE93" s="76">
        <f>IF($AU$93="snížená",$AG$93,0)</f>
        <v>0</v>
      </c>
      <c r="CF93" s="76">
        <f>IF($AU$93="zákl. přenesená",$AG$93,0)</f>
        <v>0</v>
      </c>
      <c r="CG93" s="76">
        <f>IF($AU$93="sníž. přenesená",$AG$93,0)</f>
        <v>0</v>
      </c>
      <c r="CH93" s="76">
        <f>IF($AU$93="nulová",$AG$93,0)</f>
        <v>0</v>
      </c>
      <c r="CI93" s="6">
        <f>IF($AU$93="základní",1,IF($AU$93="snížená",2,IF($AU$93="zákl. přenesená",4,IF($AU$93="sníž. přenesená",5,3))))</f>
        <v>1</v>
      </c>
      <c r="CJ93" s="6">
        <f>IF($AT$93="stavební čast",1,IF(8893="investiční čast",2,3))</f>
        <v>1</v>
      </c>
      <c r="CK93" s="6" t="str">
        <f>IF($D$93="Vyplň vlastní","","x")</f>
        <v>x</v>
      </c>
    </row>
    <row r="94" spans="2:89" s="6" customFormat="1" ht="21" customHeight="1">
      <c r="B94" s="20"/>
      <c r="D94" s="72" t="s">
        <v>88</v>
      </c>
      <c r="AG94" s="183">
        <f>ROUNDUP($AG$87*$AS$94,2)</f>
        <v>0</v>
      </c>
      <c r="AH94" s="160"/>
      <c r="AI94" s="160"/>
      <c r="AJ94" s="160"/>
      <c r="AK94" s="160"/>
      <c r="AL94" s="160"/>
      <c r="AM94" s="160"/>
      <c r="AN94" s="184">
        <f>ROUNDUP($AG$94+$AV$94,2)</f>
        <v>0</v>
      </c>
      <c r="AO94" s="160"/>
      <c r="AP94" s="160"/>
      <c r="AQ94" s="21"/>
      <c r="AS94" s="77">
        <v>0</v>
      </c>
      <c r="AT94" s="78" t="s">
        <v>84</v>
      </c>
      <c r="AU94" s="78" t="s">
        <v>37</v>
      </c>
      <c r="AV94" s="79">
        <f>ROUNDUP(IF($AU$94="základní",$AG$94*$L$28,IF($AU$94="snížená",$AG$94*$L$29,0)),2)</f>
        <v>0</v>
      </c>
      <c r="BV94" s="6" t="s">
        <v>85</v>
      </c>
      <c r="BY94" s="76">
        <f>IF($AU$94="základní",$AV$94,0)</f>
        <v>0</v>
      </c>
      <c r="BZ94" s="76">
        <f>IF($AU$94="snížená",$AV$94,0)</f>
        <v>0</v>
      </c>
      <c r="CA94" s="76">
        <v>0</v>
      </c>
      <c r="CB94" s="76">
        <v>0</v>
      </c>
      <c r="CC94" s="76">
        <v>0</v>
      </c>
      <c r="CD94" s="76">
        <f>IF($AU$94="základní",$AG$94,0)</f>
        <v>0</v>
      </c>
      <c r="CE94" s="76">
        <f>IF($AU$94="snížená",$AG$94,0)</f>
        <v>0</v>
      </c>
      <c r="CF94" s="76">
        <f>IF($AU$94="zákl. přenesená",$AG$94,0)</f>
        <v>0</v>
      </c>
      <c r="CG94" s="76">
        <f>IF($AU$94="sníž. přenesená",$AG$94,0)</f>
        <v>0</v>
      </c>
      <c r="CH94" s="76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 t="str">
        <f>IF($D$94="Vyplň vlastní","","x")</f>
        <v>x</v>
      </c>
    </row>
    <row r="95" spans="2:89" s="6" customFormat="1" ht="21" customHeight="1">
      <c r="B95" s="20"/>
      <c r="D95" s="72" t="s">
        <v>89</v>
      </c>
      <c r="AG95" s="183">
        <f>ROUNDUP($AG$87*$AS$95,2)</f>
        <v>0</v>
      </c>
      <c r="AH95" s="160"/>
      <c r="AI95" s="160"/>
      <c r="AJ95" s="160"/>
      <c r="AK95" s="160"/>
      <c r="AL95" s="160"/>
      <c r="AM95" s="160"/>
      <c r="AN95" s="184">
        <f>ROUNDUP($AG$95+$AV$95,2)</f>
        <v>0</v>
      </c>
      <c r="AO95" s="160"/>
      <c r="AP95" s="160"/>
      <c r="AQ95" s="21"/>
      <c r="AS95" s="77">
        <v>0</v>
      </c>
      <c r="AT95" s="78" t="s">
        <v>84</v>
      </c>
      <c r="AU95" s="78" t="s">
        <v>37</v>
      </c>
      <c r="AV95" s="79">
        <f>ROUNDUP(IF($AU$95="základní",$AG$95*$L$28,IF($AU$95="snížená",$AG$95*$L$29,0)),2)</f>
        <v>0</v>
      </c>
      <c r="BV95" s="6" t="s">
        <v>85</v>
      </c>
      <c r="BY95" s="76">
        <f>IF($AU$95="základní",$AV$95,0)</f>
        <v>0</v>
      </c>
      <c r="BZ95" s="76">
        <f>IF($AU$95="snížená",$AV$95,0)</f>
        <v>0</v>
      </c>
      <c r="CA95" s="76">
        <v>0</v>
      </c>
      <c r="CB95" s="76">
        <v>0</v>
      </c>
      <c r="CC95" s="76">
        <v>0</v>
      </c>
      <c r="CD95" s="76">
        <f>IF($AU$95="základní",$AG$95,0)</f>
        <v>0</v>
      </c>
      <c r="CE95" s="76">
        <f>IF($AU$95="snížená",$AG$95,0)</f>
        <v>0</v>
      </c>
      <c r="CF95" s="76">
        <f>IF($AU$95="zákl. přenesená",$AG$95,0)</f>
        <v>0</v>
      </c>
      <c r="CG95" s="76">
        <f>IF($AU$95="sníž. přenesená",$AG$95,0)</f>
        <v>0</v>
      </c>
      <c r="CH95" s="76">
        <f>IF($AU$95="nulová",$AG$95,0)</f>
        <v>0</v>
      </c>
      <c r="CI95" s="6">
        <f>IF($AU$95="základní",1,IF($AU$95="snížená",2,IF($AU$95="zákl. přenesená",4,IF($AU$95="sníž. přenesená",5,3))))</f>
        <v>1</v>
      </c>
      <c r="CJ95" s="6">
        <f>IF($AT$95="stavební čast",1,IF(8895="investiční čast",2,3))</f>
        <v>1</v>
      </c>
      <c r="CK95" s="6" t="str">
        <f>IF($D$95="Vyplň vlastní","","x")</f>
        <v>x</v>
      </c>
    </row>
    <row r="96" spans="2:89" s="6" customFormat="1" ht="21" customHeight="1">
      <c r="B96" s="20"/>
      <c r="D96" s="72" t="s">
        <v>90</v>
      </c>
      <c r="AG96" s="183">
        <f>ROUNDUP($AG$87*$AS$96,2)</f>
        <v>0</v>
      </c>
      <c r="AH96" s="160"/>
      <c r="AI96" s="160"/>
      <c r="AJ96" s="160"/>
      <c r="AK96" s="160"/>
      <c r="AL96" s="160"/>
      <c r="AM96" s="160"/>
      <c r="AN96" s="184">
        <f>ROUNDUP($AG$96+$AV$96,2)</f>
        <v>0</v>
      </c>
      <c r="AO96" s="160"/>
      <c r="AP96" s="160"/>
      <c r="AQ96" s="21"/>
      <c r="AS96" s="77">
        <v>0</v>
      </c>
      <c r="AT96" s="78" t="s">
        <v>84</v>
      </c>
      <c r="AU96" s="78" t="s">
        <v>37</v>
      </c>
      <c r="AV96" s="79">
        <f>ROUNDUP(IF($AU$96="základní",$AG$96*$L$28,IF($AU$96="snížená",$AG$96*$L$29,0)),2)</f>
        <v>0</v>
      </c>
      <c r="BV96" s="6" t="s">
        <v>85</v>
      </c>
      <c r="BY96" s="76">
        <f>IF($AU$96="základní",$AV$96,0)</f>
        <v>0</v>
      </c>
      <c r="BZ96" s="76">
        <f>IF($AU$96="snížená",$AV$96,0)</f>
        <v>0</v>
      </c>
      <c r="CA96" s="76">
        <v>0</v>
      </c>
      <c r="CB96" s="76">
        <v>0</v>
      </c>
      <c r="CC96" s="76">
        <v>0</v>
      </c>
      <c r="CD96" s="76">
        <f>IF($AU$96="základní",$AG$96,0)</f>
        <v>0</v>
      </c>
      <c r="CE96" s="76">
        <f>IF($AU$96="snížená",$AG$96,0)</f>
        <v>0</v>
      </c>
      <c r="CF96" s="76">
        <f>IF($AU$96="zákl. přenesená",$AG$96,0)</f>
        <v>0</v>
      </c>
      <c r="CG96" s="76">
        <f>IF($AU$96="sníž. přenesená",$AG$96,0)</f>
        <v>0</v>
      </c>
      <c r="CH96" s="76">
        <f>IF($AU$96="nulová",$AG$96,0)</f>
        <v>0</v>
      </c>
      <c r="CI96" s="6">
        <f>IF($AU$96="základní",1,IF($AU$96="snížená",2,IF($AU$96="zákl. přenesená",4,IF($AU$96="sníž. přenesená",5,3))))</f>
        <v>1</v>
      </c>
      <c r="CJ96" s="6">
        <f>IF($AT$96="stavební čast",1,IF(8896="investiční čast",2,3))</f>
        <v>1</v>
      </c>
      <c r="CK96" s="6" t="str">
        <f>IF($D$96="Vyplň vlastní","","x")</f>
        <v>x</v>
      </c>
    </row>
    <row r="97" spans="2:89" s="6" customFormat="1" ht="21" customHeight="1">
      <c r="B97" s="20"/>
      <c r="D97" s="72" t="s">
        <v>91</v>
      </c>
      <c r="AG97" s="183">
        <f>ROUNDUP($AG$87*$AS$97,2)</f>
        <v>0</v>
      </c>
      <c r="AH97" s="160"/>
      <c r="AI97" s="160"/>
      <c r="AJ97" s="160"/>
      <c r="AK97" s="160"/>
      <c r="AL97" s="160"/>
      <c r="AM97" s="160"/>
      <c r="AN97" s="184">
        <f>ROUNDUP($AG$97+$AV$97,2)</f>
        <v>0</v>
      </c>
      <c r="AO97" s="160"/>
      <c r="AP97" s="160"/>
      <c r="AQ97" s="21"/>
      <c r="AS97" s="77">
        <v>0</v>
      </c>
      <c r="AT97" s="78" t="s">
        <v>84</v>
      </c>
      <c r="AU97" s="78" t="s">
        <v>37</v>
      </c>
      <c r="AV97" s="79">
        <f>ROUNDUP(IF($AU$97="základní",$AG$97*$L$28,IF($AU$97="snížená",$AG$97*$L$29,0)),2)</f>
        <v>0</v>
      </c>
      <c r="BV97" s="6" t="s">
        <v>85</v>
      </c>
      <c r="BY97" s="76">
        <f>IF($AU$97="základní",$AV$97,0)</f>
        <v>0</v>
      </c>
      <c r="BZ97" s="76">
        <f>IF($AU$97="snížená",$AV$97,0)</f>
        <v>0</v>
      </c>
      <c r="CA97" s="76">
        <v>0</v>
      </c>
      <c r="CB97" s="76">
        <v>0</v>
      </c>
      <c r="CC97" s="76">
        <v>0</v>
      </c>
      <c r="CD97" s="76">
        <f>IF($AU$97="základní",$AG$97,0)</f>
        <v>0</v>
      </c>
      <c r="CE97" s="76">
        <f>IF($AU$97="snížená",$AG$97,0)</f>
        <v>0</v>
      </c>
      <c r="CF97" s="76">
        <f>IF($AU$97="zákl. přenesená",$AG$97,0)</f>
        <v>0</v>
      </c>
      <c r="CG97" s="76">
        <f>IF($AU$97="sníž. přenesená",$AG$97,0)</f>
        <v>0</v>
      </c>
      <c r="CH97" s="76">
        <f>IF($AU$97="nulová",$AG$97,0)</f>
        <v>0</v>
      </c>
      <c r="CI97" s="6">
        <f>IF($AU$97="základní",1,IF($AU$97="snížená",2,IF($AU$97="zákl. přenesená",4,IF($AU$97="sníž. přenesená",5,3))))</f>
        <v>1</v>
      </c>
      <c r="CJ97" s="6">
        <f>IF($AT$97="stavební čast",1,IF(8897="investiční čast",2,3))</f>
        <v>1</v>
      </c>
      <c r="CK97" s="6" t="str">
        <f>IF($D$97="Vyplň vlastní","","x")</f>
        <v>x</v>
      </c>
    </row>
    <row r="98" spans="2:89" s="6" customFormat="1" ht="21" customHeight="1">
      <c r="B98" s="20"/>
      <c r="D98" s="72" t="s">
        <v>92</v>
      </c>
      <c r="AG98" s="183">
        <f>ROUNDUP($AG$87*$AS$98,2)</f>
        <v>0</v>
      </c>
      <c r="AH98" s="160"/>
      <c r="AI98" s="160"/>
      <c r="AJ98" s="160"/>
      <c r="AK98" s="160"/>
      <c r="AL98" s="160"/>
      <c r="AM98" s="160"/>
      <c r="AN98" s="184">
        <f>ROUNDUP($AG$98+$AV$98,2)</f>
        <v>0</v>
      </c>
      <c r="AO98" s="160"/>
      <c r="AP98" s="160"/>
      <c r="AQ98" s="21"/>
      <c r="AS98" s="77">
        <v>0</v>
      </c>
      <c r="AT98" s="78" t="s">
        <v>84</v>
      </c>
      <c r="AU98" s="78" t="s">
        <v>37</v>
      </c>
      <c r="AV98" s="79">
        <f>ROUNDUP(IF($AU$98="základní",$AG$98*$L$28,IF($AU$98="snížená",$AG$98*$L$29,0)),2)</f>
        <v>0</v>
      </c>
      <c r="BV98" s="6" t="s">
        <v>85</v>
      </c>
      <c r="BY98" s="76">
        <f>IF($AU$98="základní",$AV$98,0)</f>
        <v>0</v>
      </c>
      <c r="BZ98" s="76">
        <f>IF($AU$98="snížená",$AV$98,0)</f>
        <v>0</v>
      </c>
      <c r="CA98" s="76">
        <v>0</v>
      </c>
      <c r="CB98" s="76">
        <v>0</v>
      </c>
      <c r="CC98" s="76">
        <v>0</v>
      </c>
      <c r="CD98" s="76">
        <f>IF($AU$98="základní",$AG$98,0)</f>
        <v>0</v>
      </c>
      <c r="CE98" s="76">
        <f>IF($AU$98="snížená",$AG$98,0)</f>
        <v>0</v>
      </c>
      <c r="CF98" s="76">
        <f>IF($AU$98="zákl. přenesená",$AG$98,0)</f>
        <v>0</v>
      </c>
      <c r="CG98" s="76">
        <f>IF($AU$98="sníž. přenesená",$AG$98,0)</f>
        <v>0</v>
      </c>
      <c r="CH98" s="76">
        <f>IF($AU$98="nulová",$AG$98,0)</f>
        <v>0</v>
      </c>
      <c r="CI98" s="6">
        <f>IF($AU$98="základní",1,IF($AU$98="snížená",2,IF($AU$98="zákl. přenesená",4,IF($AU$98="sníž. přenesená",5,3))))</f>
        <v>1</v>
      </c>
      <c r="CJ98" s="6">
        <f>IF($AT$98="stavební čast",1,IF(8898="investiční čast",2,3))</f>
        <v>1</v>
      </c>
      <c r="CK98" s="6" t="str">
        <f>IF($D$98="Vyplň vlastní","","x")</f>
        <v>x</v>
      </c>
    </row>
    <row r="99" spans="2:89" s="6" customFormat="1" ht="21" customHeight="1">
      <c r="B99" s="20"/>
      <c r="D99" s="72" t="s">
        <v>93</v>
      </c>
      <c r="AG99" s="183">
        <f>ROUNDUP($AG$87*$AS$99,2)</f>
        <v>0</v>
      </c>
      <c r="AH99" s="160"/>
      <c r="AI99" s="160"/>
      <c r="AJ99" s="160"/>
      <c r="AK99" s="160"/>
      <c r="AL99" s="160"/>
      <c r="AM99" s="160"/>
      <c r="AN99" s="184">
        <f>ROUNDUP($AG$99+$AV$99,2)</f>
        <v>0</v>
      </c>
      <c r="AO99" s="160"/>
      <c r="AP99" s="160"/>
      <c r="AQ99" s="21"/>
      <c r="AS99" s="77">
        <v>0</v>
      </c>
      <c r="AT99" s="78" t="s">
        <v>84</v>
      </c>
      <c r="AU99" s="78" t="s">
        <v>37</v>
      </c>
      <c r="AV99" s="79">
        <f>ROUNDUP(IF($AU$99="základní",$AG$99*$L$28,IF($AU$99="snížená",$AG$99*$L$29,0)),2)</f>
        <v>0</v>
      </c>
      <c r="BV99" s="6" t="s">
        <v>85</v>
      </c>
      <c r="BY99" s="76">
        <f>IF($AU$99="základní",$AV$99,0)</f>
        <v>0</v>
      </c>
      <c r="BZ99" s="76">
        <f>IF($AU$99="snížená",$AV$99,0)</f>
        <v>0</v>
      </c>
      <c r="CA99" s="76">
        <v>0</v>
      </c>
      <c r="CB99" s="76">
        <v>0</v>
      </c>
      <c r="CC99" s="76">
        <v>0</v>
      </c>
      <c r="CD99" s="76">
        <f>IF($AU$99="základní",$AG$99,0)</f>
        <v>0</v>
      </c>
      <c r="CE99" s="76">
        <f>IF($AU$99="snížená",$AG$99,0)</f>
        <v>0</v>
      </c>
      <c r="CF99" s="76">
        <f>IF($AU$99="zákl. přenesená",$AG$99,0)</f>
        <v>0</v>
      </c>
      <c r="CG99" s="76">
        <f>IF($AU$99="sníž. přenesená",$AG$99,0)</f>
        <v>0</v>
      </c>
      <c r="CH99" s="76">
        <f>IF($AU$99="nulová",$AG$99,0)</f>
        <v>0</v>
      </c>
      <c r="CI99" s="6">
        <f>IF($AU$99="základní",1,IF($AU$99="snížená",2,IF($AU$99="zákl. přenesená",4,IF($AU$99="sníž. přenesená",5,3))))</f>
        <v>1</v>
      </c>
      <c r="CJ99" s="6">
        <f>IF($AT$99="stavební čast",1,IF(8899="investiční čast",2,3))</f>
        <v>1</v>
      </c>
      <c r="CK99" s="6" t="str">
        <f>IF($D$99="Vyplň vlastní","","x")</f>
        <v>x</v>
      </c>
    </row>
    <row r="100" spans="2:89" s="6" customFormat="1" ht="21" customHeight="1">
      <c r="B100" s="20"/>
      <c r="D100" s="72" t="s">
        <v>94</v>
      </c>
      <c r="AG100" s="183">
        <f>ROUNDUP($AG$87*$AS$100,2)</f>
        <v>0</v>
      </c>
      <c r="AH100" s="160"/>
      <c r="AI100" s="160"/>
      <c r="AJ100" s="160"/>
      <c r="AK100" s="160"/>
      <c r="AL100" s="160"/>
      <c r="AM100" s="160"/>
      <c r="AN100" s="184">
        <f>ROUNDUP($AG$100+$AV$100,2)</f>
        <v>0</v>
      </c>
      <c r="AO100" s="160"/>
      <c r="AP100" s="160"/>
      <c r="AQ100" s="21"/>
      <c r="AS100" s="77">
        <v>0</v>
      </c>
      <c r="AT100" s="78" t="s">
        <v>84</v>
      </c>
      <c r="AU100" s="78" t="s">
        <v>37</v>
      </c>
      <c r="AV100" s="79">
        <f>ROUNDUP(IF($AU$100="základní",$AG$100*$L$28,IF($AU$100="snížená",$AG$100*$L$29,0)),2)</f>
        <v>0</v>
      </c>
      <c r="BV100" s="6" t="s">
        <v>85</v>
      </c>
      <c r="BY100" s="76">
        <f>IF($AU$100="základní",$AV$100,0)</f>
        <v>0</v>
      </c>
      <c r="BZ100" s="76">
        <f>IF($AU$100="snížená",$AV$100,0)</f>
        <v>0</v>
      </c>
      <c r="CA100" s="76">
        <v>0</v>
      </c>
      <c r="CB100" s="76">
        <v>0</v>
      </c>
      <c r="CC100" s="76">
        <v>0</v>
      </c>
      <c r="CD100" s="76">
        <f>IF($AU$100="základní",$AG$100,0)</f>
        <v>0</v>
      </c>
      <c r="CE100" s="76">
        <f>IF($AU$100="snížená",$AG$100,0)</f>
        <v>0</v>
      </c>
      <c r="CF100" s="76">
        <f>IF($AU$100="zákl. přenesená",$AG$100,0)</f>
        <v>0</v>
      </c>
      <c r="CG100" s="76">
        <f>IF($AU$100="sníž. přenesená",$AG$100,0)</f>
        <v>0</v>
      </c>
      <c r="CH100" s="76">
        <f>IF($AU$100="nulová",$AG$100,0)</f>
        <v>0</v>
      </c>
      <c r="CI100" s="6">
        <f>IF($AU$100="základní",1,IF($AU$100="snížená",2,IF($AU$100="zákl. přenesená",4,IF($AU$100="sníž. přenesená",5,3))))</f>
        <v>1</v>
      </c>
      <c r="CJ100" s="6">
        <f>IF($AT$100="stavební čast",1,IF(88100="investiční čast",2,3))</f>
        <v>1</v>
      </c>
      <c r="CK100" s="6" t="str">
        <f>IF($D$100="Vyplň vlastní","","x")</f>
        <v>x</v>
      </c>
    </row>
    <row r="101" spans="2:89" s="6" customFormat="1" ht="21" customHeight="1">
      <c r="B101" s="20"/>
      <c r="D101" s="185" t="s">
        <v>95</v>
      </c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G101" s="183">
        <f>$AG$87*$AS$101</f>
        <v>0</v>
      </c>
      <c r="AH101" s="160"/>
      <c r="AI101" s="160"/>
      <c r="AJ101" s="160"/>
      <c r="AK101" s="160"/>
      <c r="AL101" s="160"/>
      <c r="AM101" s="160"/>
      <c r="AN101" s="184">
        <f>$AG$101+$AV$101</f>
        <v>0</v>
      </c>
      <c r="AO101" s="160"/>
      <c r="AP101" s="160"/>
      <c r="AQ101" s="21"/>
      <c r="AS101" s="77">
        <v>0</v>
      </c>
      <c r="AT101" s="78" t="s">
        <v>84</v>
      </c>
      <c r="AU101" s="78" t="s">
        <v>37</v>
      </c>
      <c r="AV101" s="79">
        <f>ROUNDUP(IF($AU$101="nulová",0,IF(OR($AU$101="základní",$AU$101="zákl. přenesená"),$AG$101*$L$28,$AG$101*$L$29)),1)</f>
        <v>0</v>
      </c>
      <c r="BV101" s="6" t="s">
        <v>96</v>
      </c>
      <c r="BY101" s="76">
        <f>IF($AU$101="základní",$AV$101,0)</f>
        <v>0</v>
      </c>
      <c r="BZ101" s="76">
        <f>IF($AU$101="snížená",$AV$101,0)</f>
        <v>0</v>
      </c>
      <c r="CA101" s="76">
        <f>IF($AU$101="zákl. přenesená",$AV$101,0)</f>
        <v>0</v>
      </c>
      <c r="CB101" s="76">
        <f>IF($AU$101="sníž. přenesená",$AV$101,0)</f>
        <v>0</v>
      </c>
      <c r="CC101" s="76">
        <f>IF($AU$101="nulová",$AV$101,0)</f>
        <v>0</v>
      </c>
      <c r="CD101" s="76">
        <f>IF($AU$101="základní",$AG$101,0)</f>
        <v>0</v>
      </c>
      <c r="CE101" s="76">
        <f>IF($AU$101="snížená",$AG$101,0)</f>
        <v>0</v>
      </c>
      <c r="CF101" s="76">
        <f>IF($AU$101="zákl. přenesená",$AG$101,0)</f>
        <v>0</v>
      </c>
      <c r="CG101" s="76">
        <f>IF($AU$101="sníž. přenesená",$AG$101,0)</f>
        <v>0</v>
      </c>
      <c r="CH101" s="76">
        <f>IF($AU$101="nulová",$AG$101,0)</f>
        <v>0</v>
      </c>
      <c r="CI101" s="6">
        <f>IF($AU$101="základní",1,IF($AU$101="snížená",2,IF($AU$101="zákl. přenesená",4,IF($AU$101="sníž. přenesená",5,3))))</f>
        <v>1</v>
      </c>
      <c r="CJ101" s="6">
        <f>IF($AT$101="stavební čast",1,IF(88101="investiční čast",2,3))</f>
        <v>1</v>
      </c>
      <c r="CK101" s="6">
        <f>IF($D$101="Vyplň vlastní","","x")</f>
      </c>
    </row>
    <row r="102" spans="2:89" s="6" customFormat="1" ht="21" customHeight="1">
      <c r="B102" s="20"/>
      <c r="D102" s="185" t="s">
        <v>95</v>
      </c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G102" s="183">
        <f>$AG$87*$AS$102</f>
        <v>0</v>
      </c>
      <c r="AH102" s="160"/>
      <c r="AI102" s="160"/>
      <c r="AJ102" s="160"/>
      <c r="AK102" s="160"/>
      <c r="AL102" s="160"/>
      <c r="AM102" s="160"/>
      <c r="AN102" s="184">
        <f>$AG$102+$AV$102</f>
        <v>0</v>
      </c>
      <c r="AO102" s="160"/>
      <c r="AP102" s="160"/>
      <c r="AQ102" s="21"/>
      <c r="AS102" s="77">
        <v>0</v>
      </c>
      <c r="AT102" s="78" t="s">
        <v>84</v>
      </c>
      <c r="AU102" s="78" t="s">
        <v>37</v>
      </c>
      <c r="AV102" s="79">
        <f>ROUNDUP(IF($AU$102="nulová",0,IF(OR($AU$102="základní",$AU$102="zákl. přenesená"),$AG$102*$L$28,$AG$102*$L$29)),1)</f>
        <v>0</v>
      </c>
      <c r="BV102" s="6" t="s">
        <v>96</v>
      </c>
      <c r="BY102" s="76">
        <f>IF($AU$102="základní",$AV$102,0)</f>
        <v>0</v>
      </c>
      <c r="BZ102" s="76">
        <f>IF($AU$102="snížená",$AV$102,0)</f>
        <v>0</v>
      </c>
      <c r="CA102" s="76">
        <f>IF($AU$102="zákl. přenesená",$AV$102,0)</f>
        <v>0</v>
      </c>
      <c r="CB102" s="76">
        <f>IF($AU$102="sníž. přenesená",$AV$102,0)</f>
        <v>0</v>
      </c>
      <c r="CC102" s="76">
        <f>IF($AU$102="nulová",$AV$102,0)</f>
        <v>0</v>
      </c>
      <c r="CD102" s="76">
        <f>IF($AU$102="základní",$AG$102,0)</f>
        <v>0</v>
      </c>
      <c r="CE102" s="76">
        <f>IF($AU$102="snížená",$AG$102,0)</f>
        <v>0</v>
      </c>
      <c r="CF102" s="76">
        <f>IF($AU$102="zákl. přenesená",$AG$102,0)</f>
        <v>0</v>
      </c>
      <c r="CG102" s="76">
        <f>IF($AU$102="sníž. přenesená",$AG$102,0)</f>
        <v>0</v>
      </c>
      <c r="CH102" s="76">
        <f>IF($AU$102="nulová",$AG$102,0)</f>
        <v>0</v>
      </c>
      <c r="CI102" s="6">
        <f>IF($AU$102="základní",1,IF($AU$102="snížená",2,IF($AU$102="zákl. přenesená",4,IF($AU$102="sníž. přenesená",5,3))))</f>
        <v>1</v>
      </c>
      <c r="CJ102" s="6">
        <f>IF($AT$102="stavební čast",1,IF(88102="investiční čast",2,3))</f>
        <v>1</v>
      </c>
      <c r="CK102" s="6">
        <f>IF($D$102="Vyplň vlastní","","x")</f>
      </c>
    </row>
    <row r="103" spans="2:89" s="6" customFormat="1" ht="21" customHeight="1">
      <c r="B103" s="20"/>
      <c r="D103" s="185" t="s">
        <v>95</v>
      </c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G103" s="183">
        <f>$AG$87*$AS$103</f>
        <v>0</v>
      </c>
      <c r="AH103" s="160"/>
      <c r="AI103" s="160"/>
      <c r="AJ103" s="160"/>
      <c r="AK103" s="160"/>
      <c r="AL103" s="160"/>
      <c r="AM103" s="160"/>
      <c r="AN103" s="184">
        <f>$AG$103+$AV$103</f>
        <v>0</v>
      </c>
      <c r="AO103" s="160"/>
      <c r="AP103" s="160"/>
      <c r="AQ103" s="21"/>
      <c r="AS103" s="80">
        <v>0</v>
      </c>
      <c r="AT103" s="81" t="s">
        <v>84</v>
      </c>
      <c r="AU103" s="81" t="s">
        <v>37</v>
      </c>
      <c r="AV103" s="82">
        <f>ROUNDUP(IF($AU$103="nulová",0,IF(OR($AU$103="základní",$AU$103="zákl. přenesená"),$AG$103*$L$28,$AG$103*$L$29)),1)</f>
        <v>0</v>
      </c>
      <c r="BV103" s="6" t="s">
        <v>96</v>
      </c>
      <c r="BY103" s="76">
        <f>IF($AU$103="základní",$AV$103,0)</f>
        <v>0</v>
      </c>
      <c r="BZ103" s="76">
        <f>IF($AU$103="snížená",$AV$103,0)</f>
        <v>0</v>
      </c>
      <c r="CA103" s="76">
        <f>IF($AU$103="zákl. přenesená",$AV$103,0)</f>
        <v>0</v>
      </c>
      <c r="CB103" s="76">
        <f>IF($AU$103="sníž. přenesená",$AV$103,0)</f>
        <v>0</v>
      </c>
      <c r="CC103" s="76">
        <f>IF($AU$103="nulová",$AV$103,0)</f>
        <v>0</v>
      </c>
      <c r="CD103" s="76">
        <f>IF($AU$103="základní",$AG$103,0)</f>
        <v>0</v>
      </c>
      <c r="CE103" s="76">
        <f>IF($AU$103="snížená",$AG$103,0)</f>
        <v>0</v>
      </c>
      <c r="CF103" s="76">
        <f>IF($AU$103="zákl. přenesená",$AG$103,0)</f>
        <v>0</v>
      </c>
      <c r="CG103" s="76">
        <f>IF($AU$103="sníž. přenesená",$AG$103,0)</f>
        <v>0</v>
      </c>
      <c r="CH103" s="76">
        <f>IF($AU$103="nulová",$AG$103,0)</f>
        <v>0</v>
      </c>
      <c r="CI103" s="6">
        <f>IF($AU$103="základní",1,IF($AU$103="snížená",2,IF($AU$103="zákl. přenesená",4,IF($AU$103="sníž. přenesená",5,3))))</f>
        <v>1</v>
      </c>
      <c r="CJ103" s="6">
        <f>IF($AT$103="stavební čast",1,IF(88103="investiční čast",2,3))</f>
        <v>1</v>
      </c>
      <c r="CK103" s="6">
        <f>IF($D$103="Vyplň vlastní","","x")</f>
      </c>
    </row>
    <row r="104" spans="2:43" s="6" customFormat="1" ht="12" customHeight="1">
      <c r="B104" s="20"/>
      <c r="AQ104" s="21"/>
    </row>
    <row r="105" spans="2:43" s="6" customFormat="1" ht="30.75" customHeight="1">
      <c r="B105" s="20"/>
      <c r="C105" s="83" t="s">
        <v>97</v>
      </c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186">
        <f>ROUNDUP($AG$87+$AG$90,2)</f>
        <v>0</v>
      </c>
      <c r="AH105" s="187"/>
      <c r="AI105" s="187"/>
      <c r="AJ105" s="187"/>
      <c r="AK105" s="187"/>
      <c r="AL105" s="187"/>
      <c r="AM105" s="187"/>
      <c r="AN105" s="186">
        <f>ROUNDUP($AN$87+$AN$90,2)</f>
        <v>0</v>
      </c>
      <c r="AO105" s="187"/>
      <c r="AP105" s="187"/>
      <c r="AQ105" s="21"/>
    </row>
    <row r="106" spans="2:43" s="6" customFormat="1" ht="7.5" customHeight="1"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4"/>
    </row>
  </sheetData>
  <sheetProtection/>
  <mergeCells count="74">
    <mergeCell ref="AG105:AM105"/>
    <mergeCell ref="AN105:AP105"/>
    <mergeCell ref="AR2:BE2"/>
    <mergeCell ref="D103:AB103"/>
    <mergeCell ref="AG103:AM103"/>
    <mergeCell ref="AN103:AP103"/>
    <mergeCell ref="AG87:AM87"/>
    <mergeCell ref="AN87:AP87"/>
    <mergeCell ref="AG90:AM90"/>
    <mergeCell ref="AN90:AP90"/>
    <mergeCell ref="AG100:AM100"/>
    <mergeCell ref="AN100:AP100"/>
    <mergeCell ref="D101:AB101"/>
    <mergeCell ref="AG101:AM101"/>
    <mergeCell ref="AN101:AP101"/>
    <mergeCell ref="D102:AB102"/>
    <mergeCell ref="AG102:AM102"/>
    <mergeCell ref="AN102:AP102"/>
    <mergeCell ref="AG97:AM97"/>
    <mergeCell ref="AN97:AP97"/>
    <mergeCell ref="AG98:AM98"/>
    <mergeCell ref="AN98:AP98"/>
    <mergeCell ref="AG99:AM99"/>
    <mergeCell ref="AN99:AP99"/>
    <mergeCell ref="AG94:AM94"/>
    <mergeCell ref="AN94:AP94"/>
    <mergeCell ref="AG95:AM95"/>
    <mergeCell ref="AN95:AP95"/>
    <mergeCell ref="AG96:AM96"/>
    <mergeCell ref="AN96:AP96"/>
    <mergeCell ref="AG91:AM91"/>
    <mergeCell ref="AN91:AP91"/>
    <mergeCell ref="AG92:AM92"/>
    <mergeCell ref="AN92:AP92"/>
    <mergeCell ref="AG93:AM93"/>
    <mergeCell ref="AN93:AP9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X34:AB34"/>
    <mergeCell ref="AK34:AO34"/>
    <mergeCell ref="C76:AP76"/>
    <mergeCell ref="L78:AO78"/>
    <mergeCell ref="AM82:AP82"/>
    <mergeCell ref="AS82:AT84"/>
    <mergeCell ref="AM83:AP83"/>
    <mergeCell ref="L31:O31"/>
    <mergeCell ref="W31:AE31"/>
    <mergeCell ref="AK31:AO31"/>
    <mergeCell ref="L32:O32"/>
    <mergeCell ref="W32:AE32"/>
    <mergeCell ref="AK32:AO32"/>
    <mergeCell ref="AK28:AO28"/>
    <mergeCell ref="L29:O29"/>
    <mergeCell ref="W29:AE29"/>
    <mergeCell ref="AK29:AO29"/>
    <mergeCell ref="L30:O30"/>
    <mergeCell ref="W30:AE30"/>
    <mergeCell ref="AK30:AO30"/>
    <mergeCell ref="C2:AP2"/>
    <mergeCell ref="C4:AP4"/>
    <mergeCell ref="BE5:BE34"/>
    <mergeCell ref="K6:AO6"/>
    <mergeCell ref="E14:AJ14"/>
    <mergeCell ref="AK23:AO23"/>
    <mergeCell ref="AK24:AO24"/>
    <mergeCell ref="AK26:AO26"/>
    <mergeCell ref="L28:O28"/>
    <mergeCell ref="W28:AE28"/>
  </mergeCells>
  <dataValidations count="2">
    <dataValidation type="list" allowBlank="1" showInputMessage="1" showErrorMessage="1" error="Povoleny jsou hodnoty základní, snížená, zákl. přenesená, sníž. přenesená, nulová." sqref="AU91:AU104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104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SO 01 - Stavební úpravy'!C2" tooltip="SO 01 - Stavební úpravy" display="/"/>
  </hyperlinks>
  <printOptions horizontalCentered="1"/>
  <pageMargins left="0.5905511811023623" right="0.5905511811023623" top="0.5905511811023623" bottom="0.5905511811023623" header="0" footer="0"/>
  <pageSetup blackAndWhite="1" fitToHeight="100" fitToWidth="1" horizontalDpi="300" verticalDpi="300" orientation="portrait" paperSize="9" scale="97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533"/>
  <sheetViews>
    <sheetView showGridLines="0" zoomScale="85" zoomScaleNormal="85" zoomScalePageLayoutView="0" workbookViewId="0" topLeftCell="A1">
      <pane ySplit="1" topLeftCell="A2" activePane="bottomLeft" state="frozen"/>
      <selection pane="topLeft" activeCell="F48" sqref="F48"/>
      <selection pane="bottomLeft" activeCell="AD739" sqref="AD739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3" width="10.5" style="2" hidden="1" customWidth="1"/>
    <col min="64" max="16384" width="10.5" style="1" customWidth="1"/>
  </cols>
  <sheetData>
    <row r="1" spans="1:256" s="3" customFormat="1" ht="22.5" customHeight="1">
      <c r="A1" s="152"/>
      <c r="B1" s="149"/>
      <c r="C1" s="149"/>
      <c r="D1" s="150" t="s">
        <v>1</v>
      </c>
      <c r="E1" s="149"/>
      <c r="F1" s="151" t="s">
        <v>802</v>
      </c>
      <c r="G1" s="151"/>
      <c r="H1" s="224" t="s">
        <v>803</v>
      </c>
      <c r="I1" s="224"/>
      <c r="J1" s="224"/>
      <c r="K1" s="224"/>
      <c r="L1" s="151" t="s">
        <v>804</v>
      </c>
      <c r="M1" s="149"/>
      <c r="N1" s="149"/>
      <c r="O1" s="150" t="s">
        <v>98</v>
      </c>
      <c r="P1" s="149"/>
      <c r="Q1" s="149"/>
      <c r="R1" s="149"/>
      <c r="S1" s="151" t="s">
        <v>805</v>
      </c>
      <c r="T1" s="151"/>
      <c r="U1" s="152"/>
      <c r="V1" s="15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56" s="2" customFormat="1" ht="37.5" customHeight="1">
      <c r="C2" s="156" t="s">
        <v>4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S2" s="188" t="s">
        <v>5</v>
      </c>
      <c r="T2" s="157"/>
      <c r="U2" s="157"/>
      <c r="V2" s="157"/>
      <c r="W2" s="157"/>
      <c r="X2" s="157"/>
      <c r="Y2" s="157"/>
      <c r="Z2" s="157"/>
      <c r="AA2" s="157"/>
      <c r="AB2" s="157"/>
      <c r="AC2" s="157"/>
      <c r="AT2" s="2" t="s">
        <v>79</v>
      </c>
      <c r="AZ2" s="6" t="s">
        <v>99</v>
      </c>
      <c r="BA2" s="6" t="s">
        <v>100</v>
      </c>
      <c r="BB2" s="6" t="s">
        <v>100</v>
      </c>
      <c r="BC2" s="6" t="s">
        <v>101</v>
      </c>
      <c r="BD2" s="6" t="s">
        <v>102</v>
      </c>
    </row>
    <row r="3" spans="2:5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102</v>
      </c>
      <c r="AZ3" s="6" t="s">
        <v>103</v>
      </c>
      <c r="BA3" s="6" t="s">
        <v>100</v>
      </c>
      <c r="BB3" s="6" t="s">
        <v>100</v>
      </c>
      <c r="BC3" s="6" t="s">
        <v>104</v>
      </c>
      <c r="BD3" s="6" t="s">
        <v>102</v>
      </c>
    </row>
    <row r="4" spans="2:46" s="2" customFormat="1" ht="37.5" customHeight="1">
      <c r="B4" s="10"/>
      <c r="C4" s="191" t="s">
        <v>808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1"/>
      <c r="T4" s="12" t="s">
        <v>10</v>
      </c>
      <c r="AT4" s="2" t="s">
        <v>3</v>
      </c>
    </row>
    <row r="5" spans="2:18" s="2" customFormat="1" ht="7.5" customHeight="1">
      <c r="B5" s="10"/>
      <c r="N5" s="1"/>
      <c r="R5" s="11"/>
    </row>
    <row r="6" spans="2:18" s="2" customFormat="1" ht="15.75" customHeight="1">
      <c r="B6" s="10"/>
      <c r="D6" s="155" t="s">
        <v>14</v>
      </c>
      <c r="F6" s="162" t="str">
        <f>'Rekapitulace stavby'!$K$6</f>
        <v>ZŘÍZENÍ VÝTAHU V BUDOVĚ MZE</v>
      </c>
      <c r="G6" s="160"/>
      <c r="H6" s="160"/>
      <c r="I6" s="160"/>
      <c r="J6" s="160"/>
      <c r="K6" s="160"/>
      <c r="L6" s="160"/>
      <c r="M6" s="160"/>
      <c r="N6" s="160"/>
      <c r="O6" s="160"/>
      <c r="P6" s="160"/>
      <c r="R6" s="11"/>
    </row>
    <row r="7" spans="2:18" s="6" customFormat="1" ht="18.75" customHeight="1">
      <c r="B7" s="20"/>
      <c r="D7" s="15" t="s">
        <v>105</v>
      </c>
      <c r="F7" s="15" t="s">
        <v>106</v>
      </c>
      <c r="G7" s="15"/>
      <c r="H7" s="15"/>
      <c r="I7" s="15"/>
      <c r="J7" s="15"/>
      <c r="K7" s="15"/>
      <c r="L7" s="15"/>
      <c r="M7" s="15"/>
      <c r="N7" s="15"/>
      <c r="O7" s="15"/>
      <c r="P7" s="15"/>
      <c r="R7" s="21"/>
    </row>
    <row r="8" spans="2:18" s="6" customFormat="1" ht="7.5" customHeight="1">
      <c r="B8" s="20"/>
      <c r="R8" s="21"/>
    </row>
    <row r="9" spans="2:18" s="6" customFormat="1" ht="15" customHeight="1">
      <c r="B9" s="20"/>
      <c r="D9" s="15" t="s">
        <v>17</v>
      </c>
      <c r="F9" s="16" t="s">
        <v>18</v>
      </c>
      <c r="M9" s="15" t="s">
        <v>19</v>
      </c>
      <c r="O9" s="192">
        <f>'Rekapitulace stavby'!$AN$8</f>
        <v>41394</v>
      </c>
      <c r="P9" s="160"/>
      <c r="R9" s="21"/>
    </row>
    <row r="10" spans="2:18" s="6" customFormat="1" ht="7.5" customHeight="1">
      <c r="B10" s="20"/>
      <c r="R10" s="21"/>
    </row>
    <row r="11" spans="2:18" s="6" customFormat="1" ht="15" customHeight="1">
      <c r="B11" s="20"/>
      <c r="D11" s="15" t="s">
        <v>22</v>
      </c>
      <c r="M11" s="15" t="s">
        <v>23</v>
      </c>
      <c r="O11" s="173"/>
      <c r="P11" s="160"/>
      <c r="R11" s="21"/>
    </row>
    <row r="12" spans="2:18" s="6" customFormat="1" ht="18.75" customHeight="1">
      <c r="B12" s="20"/>
      <c r="E12" s="16" t="s">
        <v>24</v>
      </c>
      <c r="M12" s="15" t="s">
        <v>25</v>
      </c>
      <c r="O12" s="173"/>
      <c r="P12" s="160"/>
      <c r="R12" s="21"/>
    </row>
    <row r="13" spans="2:18" s="6" customFormat="1" ht="7.5" customHeight="1">
      <c r="B13" s="20"/>
      <c r="R13" s="21"/>
    </row>
    <row r="14" spans="2:18" s="6" customFormat="1" ht="15" customHeight="1">
      <c r="B14" s="20"/>
      <c r="D14" s="15" t="s">
        <v>26</v>
      </c>
      <c r="M14" s="15" t="s">
        <v>23</v>
      </c>
      <c r="O14" s="194"/>
      <c r="P14" s="160"/>
      <c r="R14" s="21"/>
    </row>
    <row r="15" spans="2:18" s="6" customFormat="1" ht="18.75" customHeight="1">
      <c r="B15" s="20"/>
      <c r="E15" s="194" t="s">
        <v>107</v>
      </c>
      <c r="F15" s="160"/>
      <c r="G15" s="160"/>
      <c r="H15" s="160"/>
      <c r="I15" s="160"/>
      <c r="J15" s="160"/>
      <c r="K15" s="160"/>
      <c r="L15" s="160"/>
      <c r="M15" s="15" t="s">
        <v>25</v>
      </c>
      <c r="O15" s="194"/>
      <c r="P15" s="160"/>
      <c r="R15" s="21"/>
    </row>
    <row r="16" spans="2:18" s="6" customFormat="1" ht="7.5" customHeight="1">
      <c r="B16" s="20"/>
      <c r="R16" s="21"/>
    </row>
    <row r="17" spans="2:18" s="6" customFormat="1" ht="15" customHeight="1">
      <c r="B17" s="20"/>
      <c r="D17" s="15" t="s">
        <v>28</v>
      </c>
      <c r="M17" s="15" t="s">
        <v>23</v>
      </c>
      <c r="O17" s="173"/>
      <c r="P17" s="160"/>
      <c r="R17" s="21"/>
    </row>
    <row r="18" spans="2:18" s="6" customFormat="1" ht="18.75" customHeight="1">
      <c r="B18" s="20"/>
      <c r="E18" s="16" t="s">
        <v>29</v>
      </c>
      <c r="M18" s="15" t="s">
        <v>25</v>
      </c>
      <c r="O18" s="173"/>
      <c r="P18" s="160"/>
      <c r="R18" s="21"/>
    </row>
    <row r="19" spans="2:18" s="6" customFormat="1" ht="7.5" customHeight="1">
      <c r="B19" s="20"/>
      <c r="R19" s="21"/>
    </row>
    <row r="20" spans="2:18" s="6" customFormat="1" ht="15" customHeight="1">
      <c r="B20" s="20"/>
      <c r="D20" s="15" t="s">
        <v>31</v>
      </c>
      <c r="M20" s="15" t="s">
        <v>23</v>
      </c>
      <c r="O20" s="173"/>
      <c r="P20" s="160"/>
      <c r="R20" s="21"/>
    </row>
    <row r="21" spans="2:18" s="6" customFormat="1" ht="18.75" customHeight="1">
      <c r="B21" s="20"/>
      <c r="E21" s="16" t="s">
        <v>32</v>
      </c>
      <c r="M21" s="15" t="s">
        <v>25</v>
      </c>
      <c r="O21" s="173"/>
      <c r="P21" s="160"/>
      <c r="R21" s="21"/>
    </row>
    <row r="22" spans="2:18" s="6" customFormat="1" ht="7.5" customHeight="1">
      <c r="B22" s="20"/>
      <c r="R22" s="21"/>
    </row>
    <row r="23" spans="2:18" s="6" customFormat="1" ht="7.5" customHeight="1">
      <c r="B23" s="20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R23" s="21"/>
    </row>
    <row r="24" spans="2:18" s="6" customFormat="1" ht="15" customHeight="1">
      <c r="B24" s="20"/>
      <c r="D24" s="84" t="s">
        <v>108</v>
      </c>
      <c r="M24" s="164">
        <f>$N$88</f>
        <v>0</v>
      </c>
      <c r="N24" s="160"/>
      <c r="O24" s="160"/>
      <c r="P24" s="160"/>
      <c r="R24" s="21"/>
    </row>
    <row r="25" spans="2:18" s="6" customFormat="1" ht="15" customHeight="1">
      <c r="B25" s="20"/>
      <c r="D25" s="19" t="s">
        <v>90</v>
      </c>
      <c r="M25" s="164">
        <f>$N$114</f>
        <v>0</v>
      </c>
      <c r="N25" s="160"/>
      <c r="O25" s="160"/>
      <c r="P25" s="160"/>
      <c r="R25" s="21"/>
    </row>
    <row r="26" spans="2:18" s="6" customFormat="1" ht="7.5" customHeight="1">
      <c r="B26" s="20"/>
      <c r="R26" s="21"/>
    </row>
    <row r="27" spans="2:18" s="6" customFormat="1" ht="26.25" customHeight="1">
      <c r="B27" s="20"/>
      <c r="D27" s="85" t="s">
        <v>35</v>
      </c>
      <c r="M27" s="195">
        <f>ROUNDUP($M$24+$M$25,2)</f>
        <v>0</v>
      </c>
      <c r="N27" s="160"/>
      <c r="O27" s="160"/>
      <c r="P27" s="160"/>
      <c r="R27" s="21"/>
    </row>
    <row r="28" spans="2:18" s="6" customFormat="1" ht="7.5" customHeight="1">
      <c r="B28" s="20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R28" s="21"/>
    </row>
    <row r="29" spans="2:18" s="6" customFormat="1" ht="15" customHeight="1">
      <c r="B29" s="20"/>
      <c r="D29" s="25" t="s">
        <v>36</v>
      </c>
      <c r="E29" s="25" t="s">
        <v>37</v>
      </c>
      <c r="F29" s="26">
        <v>0.21</v>
      </c>
      <c r="G29" s="86" t="s">
        <v>38</v>
      </c>
      <c r="H29" s="193">
        <f>ROUNDUP((((SUM($BE$114:$BE$120)+SUM($BE$138:$BE$746))+SUM($BE$747:$BE$748))),2)</f>
        <v>0</v>
      </c>
      <c r="I29" s="160"/>
      <c r="J29" s="160"/>
      <c r="M29" s="193">
        <f>ROUNDUP((((SUM($BE$114:$BE$120)+SUM($BE$138:$BE$746))*$F$29)+SUM($BE$747:$BE$748)*$F$29),1)</f>
        <v>0</v>
      </c>
      <c r="N29" s="160"/>
      <c r="O29" s="160"/>
      <c r="P29" s="160"/>
      <c r="R29" s="21"/>
    </row>
    <row r="30" spans="2:18" s="6" customFormat="1" ht="15" customHeight="1">
      <c r="B30" s="20"/>
      <c r="E30" s="25" t="s">
        <v>39</v>
      </c>
      <c r="F30" s="26">
        <v>0.15</v>
      </c>
      <c r="G30" s="86" t="s">
        <v>38</v>
      </c>
      <c r="H30" s="193">
        <f>ROUNDUP((((SUM($BF$114:$BF$120)+SUM($BF$138:$BF$746))+SUM($BF$747:$BF$748))),2)</f>
        <v>0</v>
      </c>
      <c r="I30" s="160"/>
      <c r="J30" s="160"/>
      <c r="M30" s="193">
        <f>ROUNDUP((((SUM($BF$114:$BF$120)+SUM($BF$138:$BF$746))*$F$30)+SUM($BF$747:$BF$748)*$F$30),1)</f>
        <v>0</v>
      </c>
      <c r="N30" s="160"/>
      <c r="O30" s="160"/>
      <c r="P30" s="160"/>
      <c r="R30" s="21"/>
    </row>
    <row r="31" spans="2:18" s="6" customFormat="1" ht="15" customHeight="1" hidden="1">
      <c r="B31" s="20"/>
      <c r="E31" s="25" t="s">
        <v>40</v>
      </c>
      <c r="F31" s="26">
        <v>0.21</v>
      </c>
      <c r="G31" s="86" t="s">
        <v>38</v>
      </c>
      <c r="H31" s="193">
        <f>ROUNDUP((((SUM($BG$114:$BG$120)+SUM($BG$138:$BG$746))+SUM($BG$747:$BG$748))),2)</f>
        <v>0</v>
      </c>
      <c r="I31" s="160"/>
      <c r="J31" s="160"/>
      <c r="M31" s="193">
        <v>0</v>
      </c>
      <c r="N31" s="160"/>
      <c r="O31" s="160"/>
      <c r="P31" s="160"/>
      <c r="R31" s="21"/>
    </row>
    <row r="32" spans="2:18" s="6" customFormat="1" ht="15" customHeight="1" hidden="1">
      <c r="B32" s="20"/>
      <c r="E32" s="25" t="s">
        <v>41</v>
      </c>
      <c r="F32" s="26">
        <v>0.15</v>
      </c>
      <c r="G32" s="86" t="s">
        <v>38</v>
      </c>
      <c r="H32" s="193">
        <f>ROUNDUP((((SUM($BH$114:$BH$120)+SUM($BH$138:$BH$746))+SUM($BH$747:$BH$748))),2)</f>
        <v>0</v>
      </c>
      <c r="I32" s="160"/>
      <c r="J32" s="160"/>
      <c r="M32" s="193">
        <v>0</v>
      </c>
      <c r="N32" s="160"/>
      <c r="O32" s="160"/>
      <c r="P32" s="160"/>
      <c r="R32" s="21"/>
    </row>
    <row r="33" spans="2:18" s="6" customFormat="1" ht="15" customHeight="1" hidden="1">
      <c r="B33" s="20"/>
      <c r="E33" s="25" t="s">
        <v>42</v>
      </c>
      <c r="F33" s="26">
        <v>0</v>
      </c>
      <c r="G33" s="86" t="s">
        <v>38</v>
      </c>
      <c r="H33" s="193">
        <f>ROUNDUP((((SUM($BI$114:$BI$120)+SUM($BI$138:$BI$746))+SUM($BI$747:$BI$748))),2)</f>
        <v>0</v>
      </c>
      <c r="I33" s="160"/>
      <c r="J33" s="160"/>
      <c r="M33" s="193">
        <v>0</v>
      </c>
      <c r="N33" s="160"/>
      <c r="O33" s="160"/>
      <c r="P33" s="160"/>
      <c r="R33" s="21"/>
    </row>
    <row r="34" spans="2:18" s="6" customFormat="1" ht="7.5" customHeight="1">
      <c r="B34" s="20"/>
      <c r="R34" s="21"/>
    </row>
    <row r="35" spans="2:18" s="6" customFormat="1" ht="26.25" customHeight="1">
      <c r="B35" s="20"/>
      <c r="C35" s="29"/>
      <c r="D35" s="30" t="s">
        <v>43</v>
      </c>
      <c r="E35" s="31"/>
      <c r="F35" s="31"/>
      <c r="G35" s="87" t="s">
        <v>44</v>
      </c>
      <c r="H35" s="32" t="s">
        <v>45</v>
      </c>
      <c r="I35" s="31"/>
      <c r="J35" s="31"/>
      <c r="K35" s="31"/>
      <c r="L35" s="171">
        <f>ROUNDUP(SUM($M$27:$M$33),2)</f>
        <v>0</v>
      </c>
      <c r="M35" s="170"/>
      <c r="N35" s="170"/>
      <c r="O35" s="170"/>
      <c r="P35" s="172"/>
      <c r="Q35" s="29"/>
      <c r="R35" s="21"/>
    </row>
    <row r="36" spans="2:18" s="6" customFormat="1" ht="15" customHeight="1">
      <c r="B36" s="20"/>
      <c r="R36" s="21"/>
    </row>
    <row r="37" spans="2:18" s="6" customFormat="1" ht="15" customHeight="1">
      <c r="B37" s="20"/>
      <c r="R37" s="21"/>
    </row>
    <row r="38" spans="2:18" s="2" customFormat="1" ht="14.25" customHeight="1">
      <c r="B38" s="10"/>
      <c r="N38" s="1"/>
      <c r="R38" s="11"/>
    </row>
    <row r="39" spans="2:18" s="2" customFormat="1" ht="14.25" customHeight="1">
      <c r="B39" s="10"/>
      <c r="N39" s="1"/>
      <c r="R39" s="11"/>
    </row>
    <row r="40" spans="2:18" s="2" customFormat="1" ht="14.25" customHeight="1">
      <c r="B40" s="10"/>
      <c r="N40" s="1"/>
      <c r="R40" s="11"/>
    </row>
    <row r="41" spans="2:18" s="2" customFormat="1" ht="14.25" customHeight="1">
      <c r="B41" s="10"/>
      <c r="N41" s="1"/>
      <c r="R41" s="11"/>
    </row>
    <row r="42" spans="2:18" s="2" customFormat="1" ht="14.25" customHeight="1">
      <c r="B42" s="10"/>
      <c r="N42" s="1"/>
      <c r="R42" s="11"/>
    </row>
    <row r="43" spans="2:18" s="2" customFormat="1" ht="14.25" customHeight="1">
      <c r="B43" s="10"/>
      <c r="N43" s="1"/>
      <c r="R43" s="11"/>
    </row>
    <row r="44" spans="2:18" s="2" customFormat="1" ht="14.25" customHeight="1">
      <c r="B44" s="10"/>
      <c r="N44" s="1"/>
      <c r="R44" s="11"/>
    </row>
    <row r="45" spans="2:18" s="2" customFormat="1" ht="14.25" customHeight="1">
      <c r="B45" s="10"/>
      <c r="N45" s="1"/>
      <c r="R45" s="11"/>
    </row>
    <row r="46" spans="2:18" s="2" customFormat="1" ht="14.25" customHeight="1">
      <c r="B46" s="10"/>
      <c r="N46" s="1"/>
      <c r="R46" s="11"/>
    </row>
    <row r="47" spans="2:18" s="2" customFormat="1" ht="14.25" customHeight="1">
      <c r="B47" s="10"/>
      <c r="N47" s="1"/>
      <c r="R47" s="11"/>
    </row>
    <row r="48" spans="2:18" s="2" customFormat="1" ht="14.25" customHeight="1">
      <c r="B48" s="10"/>
      <c r="N48" s="1"/>
      <c r="R48" s="11"/>
    </row>
    <row r="49" spans="2:18" s="2" customFormat="1" ht="14.25" customHeight="1">
      <c r="B49" s="10"/>
      <c r="N49" s="1"/>
      <c r="R49" s="11"/>
    </row>
    <row r="50" spans="2:18" s="6" customFormat="1" ht="15.75" customHeight="1">
      <c r="B50" s="20"/>
      <c r="D50" s="33" t="s">
        <v>46</v>
      </c>
      <c r="E50" s="34"/>
      <c r="F50" s="34"/>
      <c r="G50" s="34"/>
      <c r="H50" s="35"/>
      <c r="J50" s="33" t="s">
        <v>47</v>
      </c>
      <c r="K50" s="34"/>
      <c r="L50" s="34"/>
      <c r="M50" s="34"/>
      <c r="N50" s="34"/>
      <c r="O50" s="34"/>
      <c r="P50" s="35"/>
      <c r="R50" s="21"/>
    </row>
    <row r="51" spans="2:18" s="2" customFormat="1" ht="14.25" customHeight="1">
      <c r="B51" s="10"/>
      <c r="D51" s="36"/>
      <c r="H51" s="37"/>
      <c r="J51" s="36"/>
      <c r="N51" s="1"/>
      <c r="P51" s="37"/>
      <c r="R51" s="11"/>
    </row>
    <row r="52" spans="2:18" s="2" customFormat="1" ht="14.25" customHeight="1">
      <c r="B52" s="10"/>
      <c r="D52" s="36"/>
      <c r="H52" s="37"/>
      <c r="J52" s="36"/>
      <c r="N52" s="1"/>
      <c r="P52" s="37"/>
      <c r="R52" s="11"/>
    </row>
    <row r="53" spans="2:18" s="2" customFormat="1" ht="14.25" customHeight="1">
      <c r="B53" s="10"/>
      <c r="D53" s="36"/>
      <c r="H53" s="37"/>
      <c r="J53" s="36"/>
      <c r="N53" s="1"/>
      <c r="P53" s="37"/>
      <c r="R53" s="11"/>
    </row>
    <row r="54" spans="2:18" s="2" customFormat="1" ht="14.25" customHeight="1">
      <c r="B54" s="10"/>
      <c r="D54" s="36"/>
      <c r="H54" s="37"/>
      <c r="J54" s="36"/>
      <c r="N54" s="1"/>
      <c r="P54" s="37"/>
      <c r="R54" s="11"/>
    </row>
    <row r="55" spans="2:18" s="2" customFormat="1" ht="14.25" customHeight="1">
      <c r="B55" s="10"/>
      <c r="D55" s="36"/>
      <c r="H55" s="37"/>
      <c r="J55" s="36"/>
      <c r="N55" s="1"/>
      <c r="P55" s="37"/>
      <c r="R55" s="11"/>
    </row>
    <row r="56" spans="2:18" s="2" customFormat="1" ht="14.25" customHeight="1">
      <c r="B56" s="10"/>
      <c r="D56" s="36"/>
      <c r="H56" s="37"/>
      <c r="J56" s="36"/>
      <c r="N56" s="1"/>
      <c r="P56" s="37"/>
      <c r="R56" s="11"/>
    </row>
    <row r="57" spans="2:18" s="2" customFormat="1" ht="14.25" customHeight="1">
      <c r="B57" s="10"/>
      <c r="D57" s="36"/>
      <c r="H57" s="37"/>
      <c r="J57" s="36"/>
      <c r="N57" s="1"/>
      <c r="P57" s="37"/>
      <c r="R57" s="11"/>
    </row>
    <row r="58" spans="2:18" s="2" customFormat="1" ht="14.25" customHeight="1">
      <c r="B58" s="10"/>
      <c r="D58" s="36"/>
      <c r="H58" s="37"/>
      <c r="J58" s="36"/>
      <c r="N58" s="1"/>
      <c r="P58" s="37"/>
      <c r="R58" s="11"/>
    </row>
    <row r="59" spans="2:18" s="6" customFormat="1" ht="15.75" customHeight="1">
      <c r="B59" s="20"/>
      <c r="D59" s="38" t="s">
        <v>48</v>
      </c>
      <c r="E59" s="39"/>
      <c r="F59" s="39"/>
      <c r="G59" s="40" t="s">
        <v>49</v>
      </c>
      <c r="H59" s="41"/>
      <c r="J59" s="38" t="s">
        <v>48</v>
      </c>
      <c r="K59" s="39"/>
      <c r="L59" s="39"/>
      <c r="M59" s="39"/>
      <c r="N59" s="40" t="s">
        <v>49</v>
      </c>
      <c r="O59" s="39"/>
      <c r="P59" s="41"/>
      <c r="R59" s="21"/>
    </row>
    <row r="60" spans="2:18" s="2" customFormat="1" ht="14.25" customHeight="1">
      <c r="B60" s="10"/>
      <c r="N60" s="1"/>
      <c r="R60" s="11"/>
    </row>
    <row r="61" spans="2:18" s="6" customFormat="1" ht="15.75" customHeight="1">
      <c r="B61" s="20"/>
      <c r="D61" s="33" t="s">
        <v>50</v>
      </c>
      <c r="E61" s="34"/>
      <c r="F61" s="34"/>
      <c r="G61" s="34"/>
      <c r="H61" s="35"/>
      <c r="J61" s="33" t="s">
        <v>51</v>
      </c>
      <c r="K61" s="34"/>
      <c r="L61" s="34"/>
      <c r="M61" s="34"/>
      <c r="N61" s="34"/>
      <c r="O61" s="34"/>
      <c r="P61" s="35"/>
      <c r="R61" s="21"/>
    </row>
    <row r="62" spans="2:18" s="2" customFormat="1" ht="14.25" customHeight="1">
      <c r="B62" s="10"/>
      <c r="D62" s="36"/>
      <c r="H62" s="37"/>
      <c r="J62" s="36"/>
      <c r="N62" s="1"/>
      <c r="P62" s="37"/>
      <c r="R62" s="11"/>
    </row>
    <row r="63" spans="2:18" s="2" customFormat="1" ht="14.25" customHeight="1">
      <c r="B63" s="10"/>
      <c r="D63" s="36"/>
      <c r="H63" s="37"/>
      <c r="J63" s="36"/>
      <c r="N63" s="1"/>
      <c r="P63" s="37"/>
      <c r="R63" s="11"/>
    </row>
    <row r="64" spans="2:18" s="2" customFormat="1" ht="14.25" customHeight="1">
      <c r="B64" s="10"/>
      <c r="D64" s="36"/>
      <c r="H64" s="37"/>
      <c r="J64" s="36"/>
      <c r="N64" s="1"/>
      <c r="P64" s="37"/>
      <c r="R64" s="11"/>
    </row>
    <row r="65" spans="2:18" s="2" customFormat="1" ht="14.25" customHeight="1">
      <c r="B65" s="10"/>
      <c r="D65" s="36"/>
      <c r="H65" s="37"/>
      <c r="J65" s="36"/>
      <c r="N65" s="1"/>
      <c r="P65" s="37"/>
      <c r="R65" s="11"/>
    </row>
    <row r="66" spans="2:18" s="2" customFormat="1" ht="14.25" customHeight="1">
      <c r="B66" s="10"/>
      <c r="D66" s="36"/>
      <c r="H66" s="37"/>
      <c r="J66" s="36"/>
      <c r="N66" s="1"/>
      <c r="P66" s="37"/>
      <c r="R66" s="11"/>
    </row>
    <row r="67" spans="2:18" s="2" customFormat="1" ht="14.25" customHeight="1">
      <c r="B67" s="10"/>
      <c r="D67" s="36"/>
      <c r="H67" s="37"/>
      <c r="J67" s="36"/>
      <c r="N67" s="1"/>
      <c r="P67" s="37"/>
      <c r="R67" s="11"/>
    </row>
    <row r="68" spans="2:18" s="2" customFormat="1" ht="14.25" customHeight="1">
      <c r="B68" s="10"/>
      <c r="D68" s="36"/>
      <c r="H68" s="37"/>
      <c r="J68" s="36"/>
      <c r="N68" s="1"/>
      <c r="P68" s="37"/>
      <c r="R68" s="11"/>
    </row>
    <row r="69" spans="2:18" s="2" customFormat="1" ht="14.25" customHeight="1">
      <c r="B69" s="10"/>
      <c r="D69" s="36"/>
      <c r="H69" s="37"/>
      <c r="J69" s="36"/>
      <c r="N69" s="1"/>
      <c r="P69" s="37"/>
      <c r="R69" s="11"/>
    </row>
    <row r="70" spans="2:18" s="6" customFormat="1" ht="15.75" customHeight="1">
      <c r="B70" s="20"/>
      <c r="D70" s="38" t="s">
        <v>48</v>
      </c>
      <c r="E70" s="39"/>
      <c r="F70" s="39"/>
      <c r="G70" s="40" t="s">
        <v>49</v>
      </c>
      <c r="H70" s="41"/>
      <c r="J70" s="38" t="s">
        <v>48</v>
      </c>
      <c r="K70" s="39"/>
      <c r="L70" s="39"/>
      <c r="M70" s="39"/>
      <c r="N70" s="40" t="s">
        <v>49</v>
      </c>
      <c r="O70" s="39"/>
      <c r="P70" s="41"/>
      <c r="R70" s="21"/>
    </row>
    <row r="71" spans="2:18" s="6" customFormat="1" ht="15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4"/>
    </row>
    <row r="72" ht="14.25" customHeight="1">
      <c r="N72" s="1"/>
    </row>
    <row r="73" ht="14.25" customHeight="1">
      <c r="N73" s="1"/>
    </row>
    <row r="74" ht="14.25" customHeight="1">
      <c r="N74" s="1"/>
    </row>
    <row r="75" spans="2:18" s="6" customFormat="1" ht="7.5" customHeight="1"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7"/>
    </row>
    <row r="76" spans="2:18" s="6" customFormat="1" ht="37.5" customHeight="1">
      <c r="B76" s="20"/>
      <c r="C76" s="191" t="s">
        <v>809</v>
      </c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21"/>
    </row>
    <row r="77" spans="2:18" s="6" customFormat="1" ht="7.5" customHeight="1">
      <c r="B77" s="20"/>
      <c r="R77" s="21"/>
    </row>
    <row r="78" spans="2:18" s="6" customFormat="1" ht="15" customHeight="1">
      <c r="B78" s="20"/>
      <c r="C78" s="155" t="s">
        <v>14</v>
      </c>
      <c r="F78" s="196" t="str">
        <f>$F$6</f>
        <v>ZŘÍZENÍ VÝTAHU V BUDOVĚ MZE</v>
      </c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R78" s="21"/>
    </row>
    <row r="79" spans="2:18" s="6" customFormat="1" ht="15" customHeight="1">
      <c r="B79" s="20"/>
      <c r="C79" s="15" t="s">
        <v>105</v>
      </c>
      <c r="F79" s="15" t="str">
        <f>$F$7</f>
        <v>SO 01 - Stavební úpravy</v>
      </c>
      <c r="G79" s="15"/>
      <c r="H79" s="15"/>
      <c r="I79" s="15"/>
      <c r="J79" s="15"/>
      <c r="K79" s="15"/>
      <c r="L79" s="15"/>
      <c r="M79" s="15"/>
      <c r="N79" s="15"/>
      <c r="O79" s="15"/>
      <c r="P79" s="15"/>
      <c r="R79" s="21"/>
    </row>
    <row r="80" spans="2:18" s="6" customFormat="1" ht="7.5" customHeight="1">
      <c r="B80" s="20"/>
      <c r="R80" s="21"/>
    </row>
    <row r="81" spans="2:18" s="6" customFormat="1" ht="18.75" customHeight="1">
      <c r="B81" s="20"/>
      <c r="C81" s="15" t="s">
        <v>17</v>
      </c>
      <c r="F81" s="16" t="str">
        <f>$F$9</f>
        <v>Tyršova č.p. 59</v>
      </c>
      <c r="K81" s="15" t="s">
        <v>19</v>
      </c>
      <c r="M81" s="197">
        <f>IF($O$9="","",$O$9)</f>
        <v>41394</v>
      </c>
      <c r="N81" s="160"/>
      <c r="O81" s="160"/>
      <c r="P81" s="160"/>
      <c r="R81" s="21"/>
    </row>
    <row r="82" spans="2:18" s="6" customFormat="1" ht="7.5" customHeight="1">
      <c r="B82" s="20"/>
      <c r="R82" s="21"/>
    </row>
    <row r="83" spans="2:18" s="6" customFormat="1" ht="15.75" customHeight="1">
      <c r="B83" s="20"/>
      <c r="C83" s="15" t="s">
        <v>22</v>
      </c>
      <c r="F83" s="16" t="str">
        <f>$E$12</f>
        <v>MZE ČR,Těšnov 65,Nové Město-Praha 1</v>
      </c>
      <c r="K83" s="15" t="s">
        <v>28</v>
      </c>
      <c r="M83" s="173" t="str">
        <f>$E$18</f>
        <v>Proxion s r.o. Náchod</v>
      </c>
      <c r="N83" s="160"/>
      <c r="O83" s="160"/>
      <c r="P83" s="160"/>
      <c r="Q83" s="160"/>
      <c r="R83" s="21"/>
    </row>
    <row r="84" spans="2:18" s="6" customFormat="1" ht="15" customHeight="1">
      <c r="B84" s="20"/>
      <c r="C84" s="15" t="s">
        <v>26</v>
      </c>
      <c r="F84" s="16" t="str">
        <f>IF($E$15="","",$E$15)</f>
        <v>dle výběru investora</v>
      </c>
      <c r="K84" s="15" t="s">
        <v>31</v>
      </c>
      <c r="M84" s="173" t="str">
        <f>$E$21</f>
        <v>Ivan Mezera</v>
      </c>
      <c r="N84" s="160"/>
      <c r="O84" s="160"/>
      <c r="P84" s="160"/>
      <c r="Q84" s="160"/>
      <c r="R84" s="21"/>
    </row>
    <row r="85" spans="2:18" s="6" customFormat="1" ht="11.25" customHeight="1">
      <c r="B85" s="20"/>
      <c r="R85" s="21"/>
    </row>
    <row r="86" spans="2:18" s="6" customFormat="1" ht="30" customHeight="1">
      <c r="B86" s="20"/>
      <c r="C86" s="198" t="s">
        <v>109</v>
      </c>
      <c r="D86" s="187"/>
      <c r="E86" s="187"/>
      <c r="F86" s="187"/>
      <c r="G86" s="187"/>
      <c r="H86" s="29"/>
      <c r="I86" s="29"/>
      <c r="J86" s="29"/>
      <c r="K86" s="29"/>
      <c r="L86" s="29"/>
      <c r="M86" s="29"/>
      <c r="N86" s="198" t="s">
        <v>110</v>
      </c>
      <c r="O86" s="160"/>
      <c r="P86" s="160"/>
      <c r="Q86" s="160"/>
      <c r="R86" s="21"/>
    </row>
    <row r="87" spans="2:18" s="6" customFormat="1" ht="11.25" customHeight="1">
      <c r="B87" s="20"/>
      <c r="R87" s="21"/>
    </row>
    <row r="88" spans="2:47" s="6" customFormat="1" ht="30" customHeight="1">
      <c r="B88" s="20"/>
      <c r="C88" s="58" t="s">
        <v>111</v>
      </c>
      <c r="N88" s="189">
        <f>ROUNDUP($N$138,2)</f>
        <v>0</v>
      </c>
      <c r="O88" s="160"/>
      <c r="P88" s="160"/>
      <c r="Q88" s="160"/>
      <c r="R88" s="21"/>
      <c r="AU88" s="6" t="s">
        <v>112</v>
      </c>
    </row>
    <row r="89" spans="2:18" s="63" customFormat="1" ht="25.5" customHeight="1">
      <c r="B89" s="88"/>
      <c r="D89" s="89" t="s">
        <v>113</v>
      </c>
      <c r="N89" s="199">
        <f>ROUNDUP($N$139,2)</f>
        <v>0</v>
      </c>
      <c r="O89" s="200"/>
      <c r="P89" s="200"/>
      <c r="Q89" s="200"/>
      <c r="R89" s="90"/>
    </row>
    <row r="90" spans="2:18" s="84" customFormat="1" ht="21" customHeight="1">
      <c r="B90" s="91"/>
      <c r="D90" s="72" t="s">
        <v>114</v>
      </c>
      <c r="N90" s="184">
        <f>ROUNDUP($N$140,2)</f>
        <v>0</v>
      </c>
      <c r="O90" s="200"/>
      <c r="P90" s="200"/>
      <c r="Q90" s="200"/>
      <c r="R90" s="92"/>
    </row>
    <row r="91" spans="2:18" s="84" customFormat="1" ht="21" customHeight="1">
      <c r="B91" s="91"/>
      <c r="D91" s="72" t="s">
        <v>115</v>
      </c>
      <c r="N91" s="184">
        <f>ROUNDUP($N$159,2)</f>
        <v>0</v>
      </c>
      <c r="O91" s="200"/>
      <c r="P91" s="200"/>
      <c r="Q91" s="200"/>
      <c r="R91" s="92"/>
    </row>
    <row r="92" spans="2:18" s="84" customFormat="1" ht="21" customHeight="1">
      <c r="B92" s="91"/>
      <c r="D92" s="72" t="s">
        <v>116</v>
      </c>
      <c r="N92" s="184">
        <f>ROUNDUP($N$166,2)</f>
        <v>0</v>
      </c>
      <c r="O92" s="200"/>
      <c r="P92" s="200"/>
      <c r="Q92" s="200"/>
      <c r="R92" s="92"/>
    </row>
    <row r="93" spans="2:18" s="84" customFormat="1" ht="21" customHeight="1">
      <c r="B93" s="91"/>
      <c r="D93" s="72" t="s">
        <v>117</v>
      </c>
      <c r="N93" s="184">
        <f>ROUNDUP($N$199,2)</f>
        <v>0</v>
      </c>
      <c r="O93" s="200"/>
      <c r="P93" s="200"/>
      <c r="Q93" s="200"/>
      <c r="R93" s="92"/>
    </row>
    <row r="94" spans="2:18" s="84" customFormat="1" ht="21" customHeight="1">
      <c r="B94" s="91"/>
      <c r="D94" s="72" t="s">
        <v>118</v>
      </c>
      <c r="N94" s="184">
        <f>ROUNDUP($N$214,2)</f>
        <v>0</v>
      </c>
      <c r="O94" s="200"/>
      <c r="P94" s="200"/>
      <c r="Q94" s="200"/>
      <c r="R94" s="92"/>
    </row>
    <row r="95" spans="2:18" s="84" customFormat="1" ht="21" customHeight="1">
      <c r="B95" s="91"/>
      <c r="D95" s="72" t="s">
        <v>119</v>
      </c>
      <c r="N95" s="184">
        <f>ROUNDUP($N$345,2)</f>
        <v>0</v>
      </c>
      <c r="O95" s="200"/>
      <c r="P95" s="200"/>
      <c r="Q95" s="200"/>
      <c r="R95" s="92"/>
    </row>
    <row r="96" spans="2:18" s="84" customFormat="1" ht="15.75" customHeight="1">
      <c r="B96" s="91"/>
      <c r="D96" s="72" t="s">
        <v>120</v>
      </c>
      <c r="N96" s="184">
        <f>ROUNDUP($N$448,2)</f>
        <v>0</v>
      </c>
      <c r="O96" s="200"/>
      <c r="P96" s="200"/>
      <c r="Q96" s="200"/>
      <c r="R96" s="92"/>
    </row>
    <row r="97" spans="2:18" s="63" customFormat="1" ht="25.5" customHeight="1">
      <c r="B97" s="88"/>
      <c r="D97" s="89" t="s">
        <v>121</v>
      </c>
      <c r="N97" s="199">
        <f>ROUNDUP($N$454,2)</f>
        <v>0</v>
      </c>
      <c r="O97" s="200"/>
      <c r="P97" s="200"/>
      <c r="Q97" s="200"/>
      <c r="R97" s="90"/>
    </row>
    <row r="98" spans="2:18" s="84" customFormat="1" ht="21" customHeight="1">
      <c r="B98" s="91"/>
      <c r="D98" s="72" t="s">
        <v>122</v>
      </c>
      <c r="N98" s="184">
        <f>ROUNDUP($N$455,2)</f>
        <v>0</v>
      </c>
      <c r="O98" s="200"/>
      <c r="P98" s="200"/>
      <c r="Q98" s="200"/>
      <c r="R98" s="92"/>
    </row>
    <row r="99" spans="2:18" s="84" customFormat="1" ht="21" customHeight="1">
      <c r="B99" s="91"/>
      <c r="D99" s="72" t="s">
        <v>123</v>
      </c>
      <c r="N99" s="184">
        <f>ROUNDUP($N$486,2)</f>
        <v>0</v>
      </c>
      <c r="O99" s="200"/>
      <c r="P99" s="200"/>
      <c r="Q99" s="200"/>
      <c r="R99" s="92"/>
    </row>
    <row r="100" spans="2:18" s="84" customFormat="1" ht="21" customHeight="1">
      <c r="B100" s="91"/>
      <c r="D100" s="72" t="s">
        <v>124</v>
      </c>
      <c r="N100" s="184">
        <f>ROUNDUP($N$490,2)</f>
        <v>0</v>
      </c>
      <c r="O100" s="200"/>
      <c r="P100" s="200"/>
      <c r="Q100" s="200"/>
      <c r="R100" s="92"/>
    </row>
    <row r="101" spans="2:18" s="84" customFormat="1" ht="21" customHeight="1">
      <c r="B101" s="91"/>
      <c r="D101" s="72" t="s">
        <v>125</v>
      </c>
      <c r="N101" s="184">
        <f>ROUNDUP($N$581,2)</f>
        <v>0</v>
      </c>
      <c r="O101" s="200"/>
      <c r="P101" s="200"/>
      <c r="Q101" s="200"/>
      <c r="R101" s="92"/>
    </row>
    <row r="102" spans="2:18" s="84" customFormat="1" ht="21" customHeight="1">
      <c r="B102" s="91"/>
      <c r="D102" s="72" t="s">
        <v>126</v>
      </c>
      <c r="N102" s="184">
        <f>ROUNDUP($N$613,2)</f>
        <v>0</v>
      </c>
      <c r="O102" s="200"/>
      <c r="P102" s="200"/>
      <c r="Q102" s="200"/>
      <c r="R102" s="92"/>
    </row>
    <row r="103" spans="2:18" s="84" customFormat="1" ht="21" customHeight="1">
      <c r="B103" s="91"/>
      <c r="D103" s="72" t="s">
        <v>127</v>
      </c>
      <c r="N103" s="184">
        <f>ROUNDUP($N$637,2)</f>
        <v>0</v>
      </c>
      <c r="O103" s="200"/>
      <c r="P103" s="200"/>
      <c r="Q103" s="200"/>
      <c r="R103" s="92"/>
    </row>
    <row r="104" spans="2:18" s="84" customFormat="1" ht="21" customHeight="1">
      <c r="B104" s="91"/>
      <c r="D104" s="72" t="s">
        <v>128</v>
      </c>
      <c r="N104" s="184">
        <f>ROUNDUP($N$658,2)</f>
        <v>0</v>
      </c>
      <c r="O104" s="200"/>
      <c r="P104" s="200"/>
      <c r="Q104" s="200"/>
      <c r="R104" s="92"/>
    </row>
    <row r="105" spans="2:18" s="84" customFormat="1" ht="21" customHeight="1">
      <c r="B105" s="91"/>
      <c r="D105" s="72" t="s">
        <v>129</v>
      </c>
      <c r="N105" s="184">
        <f>ROUNDUP($N$663,2)</f>
        <v>0</v>
      </c>
      <c r="O105" s="200"/>
      <c r="P105" s="200"/>
      <c r="Q105" s="200"/>
      <c r="R105" s="92"/>
    </row>
    <row r="106" spans="2:18" s="84" customFormat="1" ht="21" customHeight="1">
      <c r="B106" s="91"/>
      <c r="D106" s="72" t="s">
        <v>130</v>
      </c>
      <c r="N106" s="184">
        <f>ROUNDUP($N$682,2)</f>
        <v>0</v>
      </c>
      <c r="O106" s="200"/>
      <c r="P106" s="200"/>
      <c r="Q106" s="200"/>
      <c r="R106" s="92"/>
    </row>
    <row r="107" spans="2:18" s="84" customFormat="1" ht="21" customHeight="1">
      <c r="B107" s="91"/>
      <c r="D107" s="72" t="s">
        <v>131</v>
      </c>
      <c r="N107" s="184">
        <f>ROUNDUP($N$698,2)</f>
        <v>0</v>
      </c>
      <c r="O107" s="200"/>
      <c r="P107" s="200"/>
      <c r="Q107" s="200"/>
      <c r="R107" s="92"/>
    </row>
    <row r="108" spans="2:18" s="84" customFormat="1" ht="21" customHeight="1">
      <c r="B108" s="91"/>
      <c r="D108" s="72" t="s">
        <v>132</v>
      </c>
      <c r="N108" s="184">
        <f>ROUNDUP($N$716,2)</f>
        <v>0</v>
      </c>
      <c r="O108" s="200"/>
      <c r="P108" s="200"/>
      <c r="Q108" s="200"/>
      <c r="R108" s="92"/>
    </row>
    <row r="109" spans="2:18" s="63" customFormat="1" ht="25.5" customHeight="1">
      <c r="B109" s="88"/>
      <c r="D109" s="89" t="s">
        <v>133</v>
      </c>
      <c r="N109" s="199">
        <f>ROUNDUP($N$731,2)</f>
        <v>0</v>
      </c>
      <c r="O109" s="200"/>
      <c r="P109" s="200"/>
      <c r="Q109" s="200"/>
      <c r="R109" s="90"/>
    </row>
    <row r="110" spans="2:18" s="84" customFormat="1" ht="21" customHeight="1">
      <c r="B110" s="91"/>
      <c r="D110" s="72" t="s">
        <v>134</v>
      </c>
      <c r="N110" s="184">
        <f>ROUNDUP($N$732,2)</f>
        <v>0</v>
      </c>
      <c r="O110" s="200"/>
      <c r="P110" s="200"/>
      <c r="Q110" s="200"/>
      <c r="R110" s="92"/>
    </row>
    <row r="111" spans="2:18" s="63" customFormat="1" ht="25.5" customHeight="1">
      <c r="B111" s="88"/>
      <c r="D111" s="89" t="s">
        <v>135</v>
      </c>
      <c r="N111" s="199">
        <f>ROUNDUP($N$735,2)</f>
        <v>0</v>
      </c>
      <c r="O111" s="200"/>
      <c r="P111" s="200"/>
      <c r="Q111" s="200"/>
      <c r="R111" s="90"/>
    </row>
    <row r="112" spans="2:18" s="84" customFormat="1" ht="21" customHeight="1">
      <c r="B112" s="91"/>
      <c r="D112" s="72" t="s">
        <v>136</v>
      </c>
      <c r="N112" s="184">
        <f>ROUNDUP($N$736,2)</f>
        <v>0</v>
      </c>
      <c r="O112" s="200"/>
      <c r="P112" s="200"/>
      <c r="Q112" s="200"/>
      <c r="R112" s="92"/>
    </row>
    <row r="113" spans="2:18" s="84" customFormat="1" ht="21" customHeight="1">
      <c r="B113" s="91"/>
      <c r="D113" s="72" t="s">
        <v>137</v>
      </c>
      <c r="N113" s="184">
        <f>ROUNDUP($N$745,2)</f>
        <v>0</v>
      </c>
      <c r="O113" s="200"/>
      <c r="P113" s="200"/>
      <c r="Q113" s="200"/>
      <c r="R113" s="92"/>
    </row>
    <row r="114" spans="2:21" s="6" customFormat="1" ht="30" customHeight="1">
      <c r="B114" s="20"/>
      <c r="C114" s="58" t="s">
        <v>138</v>
      </c>
      <c r="N114" s="189">
        <f>ROUNDUP($N$115+$N$116+$N$117+$N$118+$N$119+$N$120,2)</f>
        <v>0</v>
      </c>
      <c r="O114" s="160"/>
      <c r="P114" s="160"/>
      <c r="Q114" s="160"/>
      <c r="R114" s="21"/>
      <c r="T114" s="93"/>
      <c r="U114" s="94" t="s">
        <v>36</v>
      </c>
    </row>
    <row r="115" spans="2:62" s="6" customFormat="1" ht="18.75" customHeight="1">
      <c r="B115" s="20"/>
      <c r="D115" s="185" t="s">
        <v>139</v>
      </c>
      <c r="E115" s="160"/>
      <c r="F115" s="160"/>
      <c r="G115" s="160"/>
      <c r="H115" s="160"/>
      <c r="N115" s="183">
        <f>ROUNDUP($N$88*$T$115,2)</f>
        <v>0</v>
      </c>
      <c r="O115" s="160"/>
      <c r="P115" s="160"/>
      <c r="Q115" s="160"/>
      <c r="R115" s="21"/>
      <c r="T115" s="95"/>
      <c r="U115" s="96" t="s">
        <v>37</v>
      </c>
      <c r="AY115" s="6" t="s">
        <v>140</v>
      </c>
      <c r="BE115" s="76">
        <f>IF($U$115="základní",$N$115,0)</f>
        <v>0</v>
      </c>
      <c r="BF115" s="76">
        <f>IF($U$115="snížená",$N$115,0)</f>
        <v>0</v>
      </c>
      <c r="BG115" s="76">
        <f>IF($U$115="zákl. přenesená",$N$115,0)</f>
        <v>0</v>
      </c>
      <c r="BH115" s="76">
        <f>IF($U$115="sníž. přenesená",$N$115,0)</f>
        <v>0</v>
      </c>
      <c r="BI115" s="76">
        <f>IF($U$115="nulová",$N$115,0)</f>
        <v>0</v>
      </c>
      <c r="BJ115" s="6" t="s">
        <v>16</v>
      </c>
    </row>
    <row r="116" spans="2:62" s="6" customFormat="1" ht="18.75" customHeight="1">
      <c r="B116" s="20"/>
      <c r="D116" s="185" t="s">
        <v>141</v>
      </c>
      <c r="E116" s="160"/>
      <c r="F116" s="160"/>
      <c r="G116" s="160"/>
      <c r="H116" s="160"/>
      <c r="N116" s="183">
        <f>ROUNDUP($N$88*$T$116,2)</f>
        <v>0</v>
      </c>
      <c r="O116" s="160"/>
      <c r="P116" s="160"/>
      <c r="Q116" s="160"/>
      <c r="R116" s="21"/>
      <c r="T116" s="95"/>
      <c r="U116" s="96" t="s">
        <v>37</v>
      </c>
      <c r="AY116" s="6" t="s">
        <v>140</v>
      </c>
      <c r="BE116" s="76">
        <f>IF($U$116="základní",$N$116,0)</f>
        <v>0</v>
      </c>
      <c r="BF116" s="76">
        <f>IF($U$116="snížená",$N$116,0)</f>
        <v>0</v>
      </c>
      <c r="BG116" s="76">
        <f>IF($U$116="zákl. přenesená",$N$116,0)</f>
        <v>0</v>
      </c>
      <c r="BH116" s="76">
        <f>IF($U$116="sníž. přenesená",$N$116,0)</f>
        <v>0</v>
      </c>
      <c r="BI116" s="76">
        <f>IF($U$116="nulová",$N$116,0)</f>
        <v>0</v>
      </c>
      <c r="BJ116" s="6" t="s">
        <v>16</v>
      </c>
    </row>
    <row r="117" spans="2:62" s="6" customFormat="1" ht="18.75" customHeight="1">
      <c r="B117" s="20"/>
      <c r="D117" s="185" t="s">
        <v>142</v>
      </c>
      <c r="E117" s="160"/>
      <c r="F117" s="160"/>
      <c r="G117" s="160"/>
      <c r="H117" s="160"/>
      <c r="N117" s="183">
        <f>ROUNDUP($N$88*$T$117,2)</f>
        <v>0</v>
      </c>
      <c r="O117" s="160"/>
      <c r="P117" s="160"/>
      <c r="Q117" s="160"/>
      <c r="R117" s="21"/>
      <c r="T117" s="95"/>
      <c r="U117" s="96" t="s">
        <v>37</v>
      </c>
      <c r="AY117" s="6" t="s">
        <v>140</v>
      </c>
      <c r="BE117" s="76">
        <f>IF($U$117="základní",$N$117,0)</f>
        <v>0</v>
      </c>
      <c r="BF117" s="76">
        <f>IF($U$117="snížená",$N$117,0)</f>
        <v>0</v>
      </c>
      <c r="BG117" s="76">
        <f>IF($U$117="zákl. přenesená",$N$117,0)</f>
        <v>0</v>
      </c>
      <c r="BH117" s="76">
        <f>IF($U$117="sníž. přenesená",$N$117,0)</f>
        <v>0</v>
      </c>
      <c r="BI117" s="76">
        <f>IF($U$117="nulová",$N$117,0)</f>
        <v>0</v>
      </c>
      <c r="BJ117" s="6" t="s">
        <v>16</v>
      </c>
    </row>
    <row r="118" spans="2:62" s="6" customFormat="1" ht="18.75" customHeight="1">
      <c r="B118" s="20"/>
      <c r="D118" s="185" t="s">
        <v>143</v>
      </c>
      <c r="E118" s="160"/>
      <c r="F118" s="160"/>
      <c r="G118" s="160"/>
      <c r="H118" s="160"/>
      <c r="N118" s="183">
        <f>ROUNDUP($N$88*$T$118,2)</f>
        <v>0</v>
      </c>
      <c r="O118" s="160"/>
      <c r="P118" s="160"/>
      <c r="Q118" s="160"/>
      <c r="R118" s="21"/>
      <c r="T118" s="95"/>
      <c r="U118" s="96" t="s">
        <v>37</v>
      </c>
      <c r="AY118" s="6" t="s">
        <v>140</v>
      </c>
      <c r="BE118" s="76">
        <f>IF($U$118="základní",$N$118,0)</f>
        <v>0</v>
      </c>
      <c r="BF118" s="76">
        <f>IF($U$118="snížená",$N$118,0)</f>
        <v>0</v>
      </c>
      <c r="BG118" s="76">
        <f>IF($U$118="zákl. přenesená",$N$118,0)</f>
        <v>0</v>
      </c>
      <c r="BH118" s="76">
        <f>IF($U$118="sníž. přenesená",$N$118,0)</f>
        <v>0</v>
      </c>
      <c r="BI118" s="76">
        <f>IF($U$118="nulová",$N$118,0)</f>
        <v>0</v>
      </c>
      <c r="BJ118" s="6" t="s">
        <v>16</v>
      </c>
    </row>
    <row r="119" spans="2:62" s="6" customFormat="1" ht="18.75" customHeight="1">
      <c r="B119" s="20"/>
      <c r="D119" s="185" t="s">
        <v>144</v>
      </c>
      <c r="E119" s="160"/>
      <c r="F119" s="160"/>
      <c r="G119" s="160"/>
      <c r="H119" s="160"/>
      <c r="N119" s="183">
        <f>ROUNDUP($N$88*$T$119,2)</f>
        <v>0</v>
      </c>
      <c r="O119" s="160"/>
      <c r="P119" s="160"/>
      <c r="Q119" s="160"/>
      <c r="R119" s="21"/>
      <c r="T119" s="95"/>
      <c r="U119" s="96" t="s">
        <v>37</v>
      </c>
      <c r="AY119" s="6" t="s">
        <v>140</v>
      </c>
      <c r="BE119" s="76">
        <f>IF($U$119="základní",$N$119,0)</f>
        <v>0</v>
      </c>
      <c r="BF119" s="76">
        <f>IF($U$119="snížená",$N$119,0)</f>
        <v>0</v>
      </c>
      <c r="BG119" s="76">
        <f>IF($U$119="zákl. přenesená",$N$119,0)</f>
        <v>0</v>
      </c>
      <c r="BH119" s="76">
        <f>IF($U$119="sníž. přenesená",$N$119,0)</f>
        <v>0</v>
      </c>
      <c r="BI119" s="76">
        <f>IF($U$119="nulová",$N$119,0)</f>
        <v>0</v>
      </c>
      <c r="BJ119" s="6" t="s">
        <v>16</v>
      </c>
    </row>
    <row r="120" spans="2:62" s="6" customFormat="1" ht="18.75" customHeight="1">
      <c r="B120" s="20"/>
      <c r="D120" s="72" t="s">
        <v>145</v>
      </c>
      <c r="N120" s="183">
        <f>ROUNDUP($N$88*$T$120,2)</f>
        <v>0</v>
      </c>
      <c r="O120" s="160"/>
      <c r="P120" s="160"/>
      <c r="Q120" s="160"/>
      <c r="R120" s="21"/>
      <c r="T120" s="97"/>
      <c r="U120" s="98" t="s">
        <v>37</v>
      </c>
      <c r="AY120" s="6" t="s">
        <v>146</v>
      </c>
      <c r="BE120" s="76">
        <f>IF($U$120="základní",$N$120,0)</f>
        <v>0</v>
      </c>
      <c r="BF120" s="76">
        <f>IF($U$120="snížená",$N$120,0)</f>
        <v>0</v>
      </c>
      <c r="BG120" s="76">
        <f>IF($U$120="zákl. přenesená",$N$120,0)</f>
        <v>0</v>
      </c>
      <c r="BH120" s="76">
        <f>IF($U$120="sníž. přenesená",$N$120,0)</f>
        <v>0</v>
      </c>
      <c r="BI120" s="76">
        <f>IF($U$120="nulová",$N$120,0)</f>
        <v>0</v>
      </c>
      <c r="BJ120" s="6" t="s">
        <v>16</v>
      </c>
    </row>
    <row r="121" spans="2:18" s="6" customFormat="1" ht="30" customHeight="1">
      <c r="B121" s="20"/>
      <c r="C121" s="83" t="s">
        <v>97</v>
      </c>
      <c r="D121" s="29"/>
      <c r="E121" s="29"/>
      <c r="F121" s="29"/>
      <c r="G121" s="29"/>
      <c r="H121" s="29"/>
      <c r="I121" s="29"/>
      <c r="J121" s="29"/>
      <c r="K121" s="29"/>
      <c r="L121" s="186">
        <f>ROUNDUP(SUM($N$88+$N$114),2)</f>
        <v>0</v>
      </c>
      <c r="M121" s="187"/>
      <c r="N121" s="187"/>
      <c r="O121" s="187"/>
      <c r="P121" s="187"/>
      <c r="Q121" s="187"/>
      <c r="R121" s="21"/>
    </row>
    <row r="122" spans="2:18" s="6" customFormat="1" ht="7.5" customHeight="1">
      <c r="B122" s="42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4"/>
    </row>
    <row r="123" ht="14.25" customHeight="1">
      <c r="N123" s="1"/>
    </row>
    <row r="124" ht="14.25" customHeight="1">
      <c r="N124" s="1"/>
    </row>
    <row r="125" ht="14.25" customHeight="1">
      <c r="N125" s="1"/>
    </row>
    <row r="126" spans="2:18" s="6" customFormat="1" ht="7.5" customHeight="1">
      <c r="B126" s="45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7"/>
    </row>
    <row r="127" spans="2:18" s="6" customFormat="1" ht="37.5" customHeight="1">
      <c r="B127" s="20"/>
      <c r="C127" s="191" t="s">
        <v>810</v>
      </c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21"/>
    </row>
    <row r="128" spans="2:18" s="6" customFormat="1" ht="7.5" customHeight="1">
      <c r="B128" s="20"/>
      <c r="R128" s="21"/>
    </row>
    <row r="129" spans="2:18" s="6" customFormat="1" ht="15" customHeight="1">
      <c r="B129" s="20"/>
      <c r="C129" s="155" t="s">
        <v>14</v>
      </c>
      <c r="F129" s="196" t="str">
        <f>$F$6</f>
        <v>ZŘÍZENÍ VÝTAHU V BUDOVĚ MZE</v>
      </c>
      <c r="G129" s="196"/>
      <c r="H129" s="196"/>
      <c r="I129" s="196"/>
      <c r="J129" s="196"/>
      <c r="K129" s="196"/>
      <c r="L129" s="196"/>
      <c r="M129" s="196"/>
      <c r="N129" s="196"/>
      <c r="O129" s="196"/>
      <c r="P129" s="196"/>
      <c r="R129" s="21"/>
    </row>
    <row r="130" spans="2:18" s="6" customFormat="1" ht="15" customHeight="1">
      <c r="B130" s="20"/>
      <c r="C130" s="15" t="s">
        <v>105</v>
      </c>
      <c r="F130" s="15" t="str">
        <f>$F$7</f>
        <v>SO 01 - Stavební úpravy</v>
      </c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R130" s="21"/>
    </row>
    <row r="131" spans="2:18" s="6" customFormat="1" ht="7.5" customHeight="1">
      <c r="B131" s="20"/>
      <c r="R131" s="21"/>
    </row>
    <row r="132" spans="2:18" s="6" customFormat="1" ht="18.75" customHeight="1">
      <c r="B132" s="20"/>
      <c r="C132" s="15" t="s">
        <v>17</v>
      </c>
      <c r="F132" s="16" t="str">
        <f>$F$9</f>
        <v>Tyršova č.p. 59</v>
      </c>
      <c r="K132" s="15" t="s">
        <v>19</v>
      </c>
      <c r="M132" s="197">
        <f>IF($O$9="","",$O$9)</f>
        <v>41394</v>
      </c>
      <c r="N132" s="160"/>
      <c r="O132" s="160"/>
      <c r="P132" s="160"/>
      <c r="R132" s="21"/>
    </row>
    <row r="133" spans="2:18" s="6" customFormat="1" ht="7.5" customHeight="1">
      <c r="B133" s="20"/>
      <c r="R133" s="21"/>
    </row>
    <row r="134" spans="2:18" s="6" customFormat="1" ht="15.75" customHeight="1">
      <c r="B134" s="20"/>
      <c r="C134" s="15" t="s">
        <v>22</v>
      </c>
      <c r="F134" s="16" t="str">
        <f>$E$12</f>
        <v>MZE ČR,Těšnov 65,Nové Město-Praha 1</v>
      </c>
      <c r="K134" s="15" t="s">
        <v>28</v>
      </c>
      <c r="M134" s="173" t="str">
        <f>$E$18</f>
        <v>Proxion s r.o. Náchod</v>
      </c>
      <c r="N134" s="160"/>
      <c r="O134" s="160"/>
      <c r="P134" s="160"/>
      <c r="Q134" s="160"/>
      <c r="R134" s="21"/>
    </row>
    <row r="135" spans="2:18" s="6" customFormat="1" ht="15" customHeight="1">
      <c r="B135" s="20"/>
      <c r="C135" s="15" t="s">
        <v>26</v>
      </c>
      <c r="F135" s="16" t="str">
        <f>IF($E$15="","",$E$15)</f>
        <v>dle výběru investora</v>
      </c>
      <c r="K135" s="15" t="s">
        <v>31</v>
      </c>
      <c r="M135" s="173" t="str">
        <f>$E$21</f>
        <v>Ivan Mezera</v>
      </c>
      <c r="N135" s="160"/>
      <c r="O135" s="160"/>
      <c r="P135" s="160"/>
      <c r="Q135" s="160"/>
      <c r="R135" s="21"/>
    </row>
    <row r="136" spans="2:18" s="6" customFormat="1" ht="11.25" customHeight="1">
      <c r="B136" s="20"/>
      <c r="R136" s="21"/>
    </row>
    <row r="137" spans="2:27" s="99" customFormat="1" ht="30" customHeight="1">
      <c r="B137" s="100"/>
      <c r="C137" s="101" t="s">
        <v>147</v>
      </c>
      <c r="D137" s="102" t="s">
        <v>148</v>
      </c>
      <c r="E137" s="102" t="s">
        <v>54</v>
      </c>
      <c r="F137" s="201" t="s">
        <v>149</v>
      </c>
      <c r="G137" s="202"/>
      <c r="H137" s="202"/>
      <c r="I137" s="202"/>
      <c r="J137" s="102" t="s">
        <v>150</v>
      </c>
      <c r="K137" s="102" t="s">
        <v>151</v>
      </c>
      <c r="L137" s="201" t="s">
        <v>152</v>
      </c>
      <c r="M137" s="202"/>
      <c r="N137" s="201" t="s">
        <v>153</v>
      </c>
      <c r="O137" s="202"/>
      <c r="P137" s="202"/>
      <c r="Q137" s="203"/>
      <c r="R137" s="103"/>
      <c r="T137" s="53" t="s">
        <v>154</v>
      </c>
      <c r="U137" s="54" t="s">
        <v>36</v>
      </c>
      <c r="V137" s="54" t="s">
        <v>155</v>
      </c>
      <c r="W137" s="54" t="s">
        <v>156</v>
      </c>
      <c r="X137" s="54" t="s">
        <v>157</v>
      </c>
      <c r="Y137" s="54" t="s">
        <v>158</v>
      </c>
      <c r="Z137" s="54" t="s">
        <v>159</v>
      </c>
      <c r="AA137" s="55" t="s">
        <v>160</v>
      </c>
    </row>
    <row r="138" spans="2:63" s="6" customFormat="1" ht="30" customHeight="1">
      <c r="B138" s="20"/>
      <c r="C138" s="58" t="s">
        <v>108</v>
      </c>
      <c r="N138" s="208">
        <f>$BK$138</f>
        <v>0</v>
      </c>
      <c r="O138" s="160"/>
      <c r="P138" s="160"/>
      <c r="Q138" s="160"/>
      <c r="R138" s="21"/>
      <c r="T138" s="57"/>
      <c r="U138" s="34"/>
      <c r="V138" s="34"/>
      <c r="W138" s="104">
        <f>$W$139+$W$454+$W$731+$W$735+$W$747</f>
        <v>1760.202746</v>
      </c>
      <c r="X138" s="34"/>
      <c r="Y138" s="104">
        <f>$Y$139+$Y$454+$Y$731+$Y$735+$Y$747</f>
        <v>27.481566030000003</v>
      </c>
      <c r="Z138" s="34"/>
      <c r="AA138" s="105">
        <f>$AA$139+$AA$454+$AA$731+$AA$735+$AA$747</f>
        <v>35.46273149</v>
      </c>
      <c r="AT138" s="6" t="s">
        <v>71</v>
      </c>
      <c r="AU138" s="6" t="s">
        <v>112</v>
      </c>
      <c r="BK138" s="106">
        <f>$BK$139+$BK$454+$BK$731+$BK$735+$BK$747</f>
        <v>0</v>
      </c>
    </row>
    <row r="139" spans="2:63" s="107" customFormat="1" ht="37.5" customHeight="1">
      <c r="B139" s="108"/>
      <c r="C139" s="107"/>
      <c r="D139" s="109" t="s">
        <v>113</v>
      </c>
      <c r="N139" s="209">
        <f>$BK$139</f>
        <v>0</v>
      </c>
      <c r="O139" s="210"/>
      <c r="P139" s="210"/>
      <c r="Q139" s="210"/>
      <c r="R139" s="111"/>
      <c r="T139" s="112"/>
      <c r="W139" s="113">
        <f>$W$140+$W$159+$W$166+$W$199+$W$214+$W$345</f>
        <v>1252.6837679999999</v>
      </c>
      <c r="Y139" s="113">
        <f>$Y$140+$Y$159+$Y$166+$Y$199+$Y$214+$Y$345</f>
        <v>19.219619870000002</v>
      </c>
      <c r="AA139" s="114">
        <f>$AA$140+$AA$159+$AA$166+$AA$199+$AA$214+$AA$345</f>
        <v>28.820122</v>
      </c>
      <c r="AR139" s="110" t="s">
        <v>16</v>
      </c>
      <c r="AT139" s="110" t="s">
        <v>71</v>
      </c>
      <c r="AU139" s="110" t="s">
        <v>72</v>
      </c>
      <c r="AY139" s="110" t="s">
        <v>161</v>
      </c>
      <c r="BK139" s="115">
        <f>$BK$140+$BK$159+$BK$166+$BK$199+$BK$214+$BK$345</f>
        <v>0</v>
      </c>
    </row>
    <row r="140" spans="2:63" s="107" customFormat="1" ht="21" customHeight="1">
      <c r="B140" s="108"/>
      <c r="D140" s="116" t="s">
        <v>114</v>
      </c>
      <c r="N140" s="222">
        <f>$BK$140</f>
        <v>0</v>
      </c>
      <c r="O140" s="210"/>
      <c r="P140" s="210"/>
      <c r="Q140" s="210"/>
      <c r="R140" s="111"/>
      <c r="T140" s="112"/>
      <c r="W140" s="113">
        <f>SUM($W$141:$W$158)</f>
        <v>152.099737</v>
      </c>
      <c r="Y140" s="113">
        <f>SUM($Y$141:$Y$158)</f>
        <v>0.03260115</v>
      </c>
      <c r="AA140" s="114">
        <f>SUM($AA$141:$AA$158)</f>
        <v>0</v>
      </c>
      <c r="AR140" s="110" t="s">
        <v>16</v>
      </c>
      <c r="AT140" s="110" t="s">
        <v>71</v>
      </c>
      <c r="AU140" s="110" t="s">
        <v>16</v>
      </c>
      <c r="AY140" s="110" t="s">
        <v>161</v>
      </c>
      <c r="BK140" s="115">
        <f>SUM($BK$141:$BK$158)</f>
        <v>0</v>
      </c>
    </row>
    <row r="141" spans="2:63" s="6" customFormat="1" ht="27" customHeight="1">
      <c r="B141" s="20"/>
      <c r="C141" s="117" t="s">
        <v>16</v>
      </c>
      <c r="D141" s="117" t="s">
        <v>162</v>
      </c>
      <c r="E141" s="118" t="s">
        <v>163</v>
      </c>
      <c r="F141" s="204" t="s">
        <v>164</v>
      </c>
      <c r="G141" s="205"/>
      <c r="H141" s="205"/>
      <c r="I141" s="205"/>
      <c r="J141" s="119" t="s">
        <v>165</v>
      </c>
      <c r="K141" s="120">
        <v>5.159</v>
      </c>
      <c r="L141" s="206">
        <v>0</v>
      </c>
      <c r="M141" s="205"/>
      <c r="N141" s="207">
        <f>ROUND($L$141*$K$141,2)</f>
        <v>0</v>
      </c>
      <c r="O141" s="205"/>
      <c r="P141" s="205"/>
      <c r="Q141" s="205"/>
      <c r="R141" s="21"/>
      <c r="T141" s="121"/>
      <c r="U141" s="27" t="s">
        <v>37</v>
      </c>
      <c r="V141" s="122">
        <v>14.026</v>
      </c>
      <c r="W141" s="122">
        <f>$V$141*$K$141</f>
        <v>72.360134</v>
      </c>
      <c r="X141" s="122">
        <v>0</v>
      </c>
      <c r="Y141" s="122">
        <f>$X$141*$K$141</f>
        <v>0</v>
      </c>
      <c r="Z141" s="122">
        <v>0</v>
      </c>
      <c r="AA141" s="123">
        <f>$Z$141*$K$141</f>
        <v>0</v>
      </c>
      <c r="AR141" s="6" t="s">
        <v>166</v>
      </c>
      <c r="AT141" s="6" t="s">
        <v>162</v>
      </c>
      <c r="AU141" s="6" t="s">
        <v>102</v>
      </c>
      <c r="AY141" s="6" t="s">
        <v>161</v>
      </c>
      <c r="BE141" s="76">
        <f>IF($U$141="základní",$N$141,0)</f>
        <v>0</v>
      </c>
      <c r="BF141" s="76">
        <f>IF($U$141="snížená",$N$141,0)</f>
        <v>0</v>
      </c>
      <c r="BG141" s="76">
        <f>IF($U$141="zákl. přenesená",$N$141,0)</f>
        <v>0</v>
      </c>
      <c r="BH141" s="76">
        <f>IF($U$141="sníž. přenesená",$N$141,0)</f>
        <v>0</v>
      </c>
      <c r="BI141" s="76">
        <f>IF($U$141="nulová",$N$141,0)</f>
        <v>0</v>
      </c>
      <c r="BJ141" s="6" t="s">
        <v>16</v>
      </c>
      <c r="BK141" s="76">
        <f>ROUND($L$141*$K$141,2)</f>
        <v>0</v>
      </c>
    </row>
    <row r="142" spans="2:51" s="6" customFormat="1" ht="15.75" customHeight="1">
      <c r="B142" s="124"/>
      <c r="E142" s="125"/>
      <c r="F142" s="211" t="s">
        <v>167</v>
      </c>
      <c r="G142" s="212"/>
      <c r="H142" s="212"/>
      <c r="I142" s="212"/>
      <c r="K142" s="125"/>
      <c r="N142" s="125"/>
      <c r="R142" s="126"/>
      <c r="T142" s="127"/>
      <c r="AA142" s="128"/>
      <c r="AT142" s="125" t="s">
        <v>168</v>
      </c>
      <c r="AU142" s="125" t="s">
        <v>102</v>
      </c>
      <c r="AV142" s="125" t="s">
        <v>16</v>
      </c>
      <c r="AW142" s="125" t="s">
        <v>112</v>
      </c>
      <c r="AX142" s="125" t="s">
        <v>72</v>
      </c>
      <c r="AY142" s="125" t="s">
        <v>161</v>
      </c>
    </row>
    <row r="143" spans="2:51" s="6" customFormat="1" ht="15.75" customHeight="1">
      <c r="B143" s="124"/>
      <c r="E143" s="125"/>
      <c r="F143" s="211" t="s">
        <v>169</v>
      </c>
      <c r="G143" s="212"/>
      <c r="H143" s="212"/>
      <c r="I143" s="212"/>
      <c r="K143" s="125"/>
      <c r="N143" s="125"/>
      <c r="R143" s="126"/>
      <c r="T143" s="127"/>
      <c r="AA143" s="128"/>
      <c r="AT143" s="125" t="s">
        <v>168</v>
      </c>
      <c r="AU143" s="125" t="s">
        <v>102</v>
      </c>
      <c r="AV143" s="125" t="s">
        <v>16</v>
      </c>
      <c r="AW143" s="125" t="s">
        <v>112</v>
      </c>
      <c r="AX143" s="125" t="s">
        <v>72</v>
      </c>
      <c r="AY143" s="125" t="s">
        <v>161</v>
      </c>
    </row>
    <row r="144" spans="2:51" s="6" customFormat="1" ht="15.75" customHeight="1">
      <c r="B144" s="129"/>
      <c r="E144" s="130"/>
      <c r="F144" s="213" t="s">
        <v>170</v>
      </c>
      <c r="G144" s="214"/>
      <c r="H144" s="214"/>
      <c r="I144" s="214"/>
      <c r="K144" s="131">
        <v>5.159</v>
      </c>
      <c r="N144" s="130"/>
      <c r="R144" s="132"/>
      <c r="T144" s="133"/>
      <c r="AA144" s="134"/>
      <c r="AT144" s="130" t="s">
        <v>168</v>
      </c>
      <c r="AU144" s="130" t="s">
        <v>102</v>
      </c>
      <c r="AV144" s="130" t="s">
        <v>102</v>
      </c>
      <c r="AW144" s="130" t="s">
        <v>112</v>
      </c>
      <c r="AX144" s="130" t="s">
        <v>72</v>
      </c>
      <c r="AY144" s="130" t="s">
        <v>161</v>
      </c>
    </row>
    <row r="145" spans="2:51" s="6" customFormat="1" ht="15.75" customHeight="1">
      <c r="B145" s="135"/>
      <c r="E145" s="136" t="s">
        <v>99</v>
      </c>
      <c r="F145" s="215" t="s">
        <v>171</v>
      </c>
      <c r="G145" s="216"/>
      <c r="H145" s="216"/>
      <c r="I145" s="216"/>
      <c r="K145" s="137">
        <v>5.159</v>
      </c>
      <c r="N145" s="136"/>
      <c r="R145" s="138"/>
      <c r="T145" s="139"/>
      <c r="AA145" s="140"/>
      <c r="AT145" s="136" t="s">
        <v>168</v>
      </c>
      <c r="AU145" s="136" t="s">
        <v>102</v>
      </c>
      <c r="AV145" s="136" t="s">
        <v>166</v>
      </c>
      <c r="AW145" s="136" t="s">
        <v>112</v>
      </c>
      <c r="AX145" s="136" t="s">
        <v>16</v>
      </c>
      <c r="AY145" s="136" t="s">
        <v>161</v>
      </c>
    </row>
    <row r="146" spans="2:63" s="6" customFormat="1" ht="15.75" customHeight="1">
      <c r="B146" s="20"/>
      <c r="C146" s="117" t="s">
        <v>102</v>
      </c>
      <c r="D146" s="117" t="s">
        <v>162</v>
      </c>
      <c r="E146" s="118" t="s">
        <v>172</v>
      </c>
      <c r="F146" s="204" t="s">
        <v>173</v>
      </c>
      <c r="G146" s="205"/>
      <c r="H146" s="205"/>
      <c r="I146" s="205"/>
      <c r="J146" s="119" t="s">
        <v>174</v>
      </c>
      <c r="K146" s="120">
        <v>11.439</v>
      </c>
      <c r="L146" s="206">
        <v>0</v>
      </c>
      <c r="M146" s="205"/>
      <c r="N146" s="207">
        <f>ROUND($L$146*$K$146,2)</f>
        <v>0</v>
      </c>
      <c r="O146" s="205"/>
      <c r="P146" s="205"/>
      <c r="Q146" s="205"/>
      <c r="R146" s="21"/>
      <c r="T146" s="121"/>
      <c r="U146" s="27" t="s">
        <v>37</v>
      </c>
      <c r="V146" s="122">
        <v>0.323</v>
      </c>
      <c r="W146" s="122">
        <f>$V$146*$K$146</f>
        <v>3.6947970000000003</v>
      </c>
      <c r="X146" s="122">
        <v>0.00149</v>
      </c>
      <c r="Y146" s="122">
        <f>$X$146*$K$146</f>
        <v>0.01704411</v>
      </c>
      <c r="Z146" s="122">
        <v>0</v>
      </c>
      <c r="AA146" s="123">
        <f>$Z$146*$K$146</f>
        <v>0</v>
      </c>
      <c r="AR146" s="6" t="s">
        <v>166</v>
      </c>
      <c r="AT146" s="6" t="s">
        <v>162</v>
      </c>
      <c r="AU146" s="6" t="s">
        <v>102</v>
      </c>
      <c r="AY146" s="6" t="s">
        <v>161</v>
      </c>
      <c r="BE146" s="76">
        <f>IF($U$146="základní",$N$146,0)</f>
        <v>0</v>
      </c>
      <c r="BF146" s="76">
        <f>IF($U$146="snížená",$N$146,0)</f>
        <v>0</v>
      </c>
      <c r="BG146" s="76">
        <f>IF($U$146="zákl. přenesená",$N$146,0)</f>
        <v>0</v>
      </c>
      <c r="BH146" s="76">
        <f>IF($U$146="sníž. přenesená",$N$146,0)</f>
        <v>0</v>
      </c>
      <c r="BI146" s="76">
        <f>IF($U$146="nulová",$N$146,0)</f>
        <v>0</v>
      </c>
      <c r="BJ146" s="6" t="s">
        <v>16</v>
      </c>
      <c r="BK146" s="76">
        <f>ROUND($L$146*$K$146,2)</f>
        <v>0</v>
      </c>
    </row>
    <row r="147" spans="2:51" s="6" customFormat="1" ht="15.75" customHeight="1">
      <c r="B147" s="124"/>
      <c r="E147" s="125"/>
      <c r="F147" s="211" t="s">
        <v>169</v>
      </c>
      <c r="G147" s="212"/>
      <c r="H147" s="212"/>
      <c r="I147" s="212"/>
      <c r="K147" s="125"/>
      <c r="N147" s="125"/>
      <c r="R147" s="126"/>
      <c r="T147" s="127"/>
      <c r="AA147" s="128"/>
      <c r="AT147" s="125" t="s">
        <v>168</v>
      </c>
      <c r="AU147" s="125" t="s">
        <v>102</v>
      </c>
      <c r="AV147" s="125" t="s">
        <v>16</v>
      </c>
      <c r="AW147" s="125" t="s">
        <v>112</v>
      </c>
      <c r="AX147" s="125" t="s">
        <v>72</v>
      </c>
      <c r="AY147" s="125" t="s">
        <v>161</v>
      </c>
    </row>
    <row r="148" spans="2:51" s="6" customFormat="1" ht="15.75" customHeight="1">
      <c r="B148" s="129"/>
      <c r="E148" s="130"/>
      <c r="F148" s="213" t="s">
        <v>175</v>
      </c>
      <c r="G148" s="214"/>
      <c r="H148" s="214"/>
      <c r="I148" s="214"/>
      <c r="K148" s="131">
        <v>11.439</v>
      </c>
      <c r="N148" s="130"/>
      <c r="R148" s="132"/>
      <c r="T148" s="133"/>
      <c r="AA148" s="134"/>
      <c r="AT148" s="130" t="s">
        <v>168</v>
      </c>
      <c r="AU148" s="130" t="s">
        <v>102</v>
      </c>
      <c r="AV148" s="130" t="s">
        <v>102</v>
      </c>
      <c r="AW148" s="130" t="s">
        <v>112</v>
      </c>
      <c r="AX148" s="130" t="s">
        <v>72</v>
      </c>
      <c r="AY148" s="130" t="s">
        <v>161</v>
      </c>
    </row>
    <row r="149" spans="2:51" s="6" customFormat="1" ht="15.75" customHeight="1">
      <c r="B149" s="135"/>
      <c r="E149" s="136"/>
      <c r="F149" s="215" t="s">
        <v>171</v>
      </c>
      <c r="G149" s="216"/>
      <c r="H149" s="216"/>
      <c r="I149" s="216"/>
      <c r="K149" s="137">
        <v>11.439</v>
      </c>
      <c r="N149" s="136"/>
      <c r="R149" s="138"/>
      <c r="T149" s="139"/>
      <c r="AA149" s="140"/>
      <c r="AT149" s="136" t="s">
        <v>168</v>
      </c>
      <c r="AU149" s="136" t="s">
        <v>102</v>
      </c>
      <c r="AV149" s="136" t="s">
        <v>166</v>
      </c>
      <c r="AW149" s="136" t="s">
        <v>112</v>
      </c>
      <c r="AX149" s="136" t="s">
        <v>16</v>
      </c>
      <c r="AY149" s="136" t="s">
        <v>161</v>
      </c>
    </row>
    <row r="150" spans="2:63" s="6" customFormat="1" ht="15.75" customHeight="1">
      <c r="B150" s="20"/>
      <c r="C150" s="117" t="s">
        <v>176</v>
      </c>
      <c r="D150" s="117" t="s">
        <v>162</v>
      </c>
      <c r="E150" s="118" t="s">
        <v>177</v>
      </c>
      <c r="F150" s="204" t="s">
        <v>178</v>
      </c>
      <c r="G150" s="205"/>
      <c r="H150" s="205"/>
      <c r="I150" s="205"/>
      <c r="J150" s="119" t="s">
        <v>174</v>
      </c>
      <c r="K150" s="120">
        <v>11.439</v>
      </c>
      <c r="L150" s="206">
        <v>0</v>
      </c>
      <c r="M150" s="205"/>
      <c r="N150" s="207">
        <f>ROUND($L$150*$K$150,2)</f>
        <v>0</v>
      </c>
      <c r="O150" s="205"/>
      <c r="P150" s="205"/>
      <c r="Q150" s="205"/>
      <c r="R150" s="21"/>
      <c r="T150" s="121"/>
      <c r="U150" s="27" t="s">
        <v>37</v>
      </c>
      <c r="V150" s="122">
        <v>0.171</v>
      </c>
      <c r="W150" s="122">
        <f>$V$150*$K$150</f>
        <v>1.956069</v>
      </c>
      <c r="X150" s="122">
        <v>0</v>
      </c>
      <c r="Y150" s="122">
        <f>$X$150*$K$150</f>
        <v>0</v>
      </c>
      <c r="Z150" s="122">
        <v>0</v>
      </c>
      <c r="AA150" s="123">
        <f>$Z$150*$K$150</f>
        <v>0</v>
      </c>
      <c r="AR150" s="6" t="s">
        <v>166</v>
      </c>
      <c r="AT150" s="6" t="s">
        <v>162</v>
      </c>
      <c r="AU150" s="6" t="s">
        <v>102</v>
      </c>
      <c r="AY150" s="6" t="s">
        <v>161</v>
      </c>
      <c r="BE150" s="76">
        <f>IF($U$150="základní",$N$150,0)</f>
        <v>0</v>
      </c>
      <c r="BF150" s="76">
        <f>IF($U$150="snížená",$N$150,0)</f>
        <v>0</v>
      </c>
      <c r="BG150" s="76">
        <f>IF($U$150="zákl. přenesená",$N$150,0)</f>
        <v>0</v>
      </c>
      <c r="BH150" s="76">
        <f>IF($U$150="sníž. přenesená",$N$150,0)</f>
        <v>0</v>
      </c>
      <c r="BI150" s="76">
        <f>IF($U$150="nulová",$N$150,0)</f>
        <v>0</v>
      </c>
      <c r="BJ150" s="6" t="s">
        <v>16</v>
      </c>
      <c r="BK150" s="76">
        <f>ROUND($L$150*$K$150,2)</f>
        <v>0</v>
      </c>
    </row>
    <row r="151" spans="2:63" s="6" customFormat="1" ht="27" customHeight="1">
      <c r="B151" s="20"/>
      <c r="C151" s="117" t="s">
        <v>166</v>
      </c>
      <c r="D151" s="117" t="s">
        <v>162</v>
      </c>
      <c r="E151" s="118" t="s">
        <v>179</v>
      </c>
      <c r="F151" s="204" t="s">
        <v>180</v>
      </c>
      <c r="G151" s="205"/>
      <c r="H151" s="205"/>
      <c r="I151" s="205"/>
      <c r="J151" s="119" t="s">
        <v>165</v>
      </c>
      <c r="K151" s="120">
        <v>11.439</v>
      </c>
      <c r="L151" s="206">
        <v>0</v>
      </c>
      <c r="M151" s="205"/>
      <c r="N151" s="207">
        <f>ROUND($L$151*$K$151,2)</f>
        <v>0</v>
      </c>
      <c r="O151" s="205"/>
      <c r="P151" s="205"/>
      <c r="Q151" s="205"/>
      <c r="R151" s="21"/>
      <c r="T151" s="121"/>
      <c r="U151" s="27" t="s">
        <v>37</v>
      </c>
      <c r="V151" s="122">
        <v>0.164</v>
      </c>
      <c r="W151" s="122">
        <f>$V$151*$K$151</f>
        <v>1.875996</v>
      </c>
      <c r="X151" s="122">
        <v>0.00136</v>
      </c>
      <c r="Y151" s="122">
        <f>$X$151*$K$151</f>
        <v>0.015557040000000001</v>
      </c>
      <c r="Z151" s="122">
        <v>0</v>
      </c>
      <c r="AA151" s="123">
        <f>$Z$151*$K$151</f>
        <v>0</v>
      </c>
      <c r="AR151" s="6" t="s">
        <v>166</v>
      </c>
      <c r="AT151" s="6" t="s">
        <v>162</v>
      </c>
      <c r="AU151" s="6" t="s">
        <v>102</v>
      </c>
      <c r="AY151" s="6" t="s">
        <v>161</v>
      </c>
      <c r="BE151" s="76">
        <f>IF($U$151="základní",$N$151,0)</f>
        <v>0</v>
      </c>
      <c r="BF151" s="76">
        <f>IF($U$151="snížená",$N$151,0)</f>
        <v>0</v>
      </c>
      <c r="BG151" s="76">
        <f>IF($U$151="zákl. přenesená",$N$151,0)</f>
        <v>0</v>
      </c>
      <c r="BH151" s="76">
        <f>IF($U$151="sníž. přenesená",$N$151,0)</f>
        <v>0</v>
      </c>
      <c r="BI151" s="76">
        <f>IF($U$151="nulová",$N$151,0)</f>
        <v>0</v>
      </c>
      <c r="BJ151" s="6" t="s">
        <v>16</v>
      </c>
      <c r="BK151" s="76">
        <f>ROUND($L$151*$K$151,2)</f>
        <v>0</v>
      </c>
    </row>
    <row r="152" spans="2:63" s="6" customFormat="1" ht="27" customHeight="1">
      <c r="B152" s="20"/>
      <c r="C152" s="117" t="s">
        <v>181</v>
      </c>
      <c r="D152" s="117" t="s">
        <v>162</v>
      </c>
      <c r="E152" s="118" t="s">
        <v>182</v>
      </c>
      <c r="F152" s="204" t="s">
        <v>183</v>
      </c>
      <c r="G152" s="205"/>
      <c r="H152" s="205"/>
      <c r="I152" s="205"/>
      <c r="J152" s="119" t="s">
        <v>165</v>
      </c>
      <c r="K152" s="120">
        <v>11.439</v>
      </c>
      <c r="L152" s="206">
        <v>0</v>
      </c>
      <c r="M152" s="205"/>
      <c r="N152" s="207">
        <f>ROUND($L$152*$K$152,2)</f>
        <v>0</v>
      </c>
      <c r="O152" s="205"/>
      <c r="P152" s="205"/>
      <c r="Q152" s="205"/>
      <c r="R152" s="21"/>
      <c r="T152" s="121"/>
      <c r="U152" s="27" t="s">
        <v>37</v>
      </c>
      <c r="V152" s="122">
        <v>0.048</v>
      </c>
      <c r="W152" s="122">
        <f>$V$152*$K$152</f>
        <v>0.549072</v>
      </c>
      <c r="X152" s="122">
        <v>0</v>
      </c>
      <c r="Y152" s="122">
        <f>$X$152*$K$152</f>
        <v>0</v>
      </c>
      <c r="Z152" s="122">
        <v>0</v>
      </c>
      <c r="AA152" s="123">
        <f>$Z$152*$K$152</f>
        <v>0</v>
      </c>
      <c r="AR152" s="6" t="s">
        <v>166</v>
      </c>
      <c r="AT152" s="6" t="s">
        <v>162</v>
      </c>
      <c r="AU152" s="6" t="s">
        <v>102</v>
      </c>
      <c r="AY152" s="6" t="s">
        <v>161</v>
      </c>
      <c r="BE152" s="76">
        <f>IF($U$152="základní",$N$152,0)</f>
        <v>0</v>
      </c>
      <c r="BF152" s="76">
        <f>IF($U$152="snížená",$N$152,0)</f>
        <v>0</v>
      </c>
      <c r="BG152" s="76">
        <f>IF($U$152="zákl. přenesená",$N$152,0)</f>
        <v>0</v>
      </c>
      <c r="BH152" s="76">
        <f>IF($U$152="sníž. přenesená",$N$152,0)</f>
        <v>0</v>
      </c>
      <c r="BI152" s="76">
        <f>IF($U$152="nulová",$N$152,0)</f>
        <v>0</v>
      </c>
      <c r="BJ152" s="6" t="s">
        <v>16</v>
      </c>
      <c r="BK152" s="76">
        <f>ROUND($L$152*$K$152,2)</f>
        <v>0</v>
      </c>
    </row>
    <row r="153" spans="2:63" s="6" customFormat="1" ht="27" customHeight="1">
      <c r="B153" s="20"/>
      <c r="C153" s="117" t="s">
        <v>184</v>
      </c>
      <c r="D153" s="117" t="s">
        <v>162</v>
      </c>
      <c r="E153" s="118" t="s">
        <v>185</v>
      </c>
      <c r="F153" s="204" t="s">
        <v>186</v>
      </c>
      <c r="G153" s="205"/>
      <c r="H153" s="205"/>
      <c r="I153" s="205"/>
      <c r="J153" s="119" t="s">
        <v>165</v>
      </c>
      <c r="K153" s="120">
        <v>5.159</v>
      </c>
      <c r="L153" s="206">
        <v>0</v>
      </c>
      <c r="M153" s="205"/>
      <c r="N153" s="207">
        <f>ROUND($L$153*$K$153,2)</f>
        <v>0</v>
      </c>
      <c r="O153" s="205"/>
      <c r="P153" s="205"/>
      <c r="Q153" s="205"/>
      <c r="R153" s="21"/>
      <c r="T153" s="121"/>
      <c r="U153" s="27" t="s">
        <v>37</v>
      </c>
      <c r="V153" s="122">
        <v>3.81</v>
      </c>
      <c r="W153" s="122">
        <f>$V$153*$K$153</f>
        <v>19.65579</v>
      </c>
      <c r="X153" s="122">
        <v>0</v>
      </c>
      <c r="Y153" s="122">
        <f>$X$153*$K$153</f>
        <v>0</v>
      </c>
      <c r="Z153" s="122">
        <v>0</v>
      </c>
      <c r="AA153" s="123">
        <f>$Z$153*$K$153</f>
        <v>0</v>
      </c>
      <c r="AR153" s="6" t="s">
        <v>166</v>
      </c>
      <c r="AT153" s="6" t="s">
        <v>162</v>
      </c>
      <c r="AU153" s="6" t="s">
        <v>102</v>
      </c>
      <c r="AY153" s="6" t="s">
        <v>161</v>
      </c>
      <c r="BE153" s="76">
        <f>IF($U$153="základní",$N$153,0)</f>
        <v>0</v>
      </c>
      <c r="BF153" s="76">
        <f>IF($U$153="snížená",$N$153,0)</f>
        <v>0</v>
      </c>
      <c r="BG153" s="76">
        <f>IF($U$153="zákl. přenesená",$N$153,0)</f>
        <v>0</v>
      </c>
      <c r="BH153" s="76">
        <f>IF($U$153="sníž. přenesená",$N$153,0)</f>
        <v>0</v>
      </c>
      <c r="BI153" s="76">
        <f>IF($U$153="nulová",$N$153,0)</f>
        <v>0</v>
      </c>
      <c r="BJ153" s="6" t="s">
        <v>16</v>
      </c>
      <c r="BK153" s="76">
        <f>ROUND($L$153*$K$153,2)</f>
        <v>0</v>
      </c>
    </row>
    <row r="154" spans="2:51" s="6" customFormat="1" ht="15.75" customHeight="1">
      <c r="B154" s="129"/>
      <c r="E154" s="130"/>
      <c r="F154" s="213" t="s">
        <v>99</v>
      </c>
      <c r="G154" s="214"/>
      <c r="H154" s="214"/>
      <c r="I154" s="214"/>
      <c r="K154" s="131">
        <v>5.159</v>
      </c>
      <c r="N154" s="130"/>
      <c r="R154" s="132"/>
      <c r="T154" s="133"/>
      <c r="AA154" s="134"/>
      <c r="AT154" s="130" t="s">
        <v>168</v>
      </c>
      <c r="AU154" s="130" t="s">
        <v>102</v>
      </c>
      <c r="AV154" s="130" t="s">
        <v>102</v>
      </c>
      <c r="AW154" s="130" t="s">
        <v>112</v>
      </c>
      <c r="AX154" s="130" t="s">
        <v>16</v>
      </c>
      <c r="AY154" s="130" t="s">
        <v>161</v>
      </c>
    </row>
    <row r="155" spans="2:63" s="6" customFormat="1" ht="27" customHeight="1">
      <c r="B155" s="20"/>
      <c r="C155" s="117" t="s">
        <v>187</v>
      </c>
      <c r="D155" s="117" t="s">
        <v>162</v>
      </c>
      <c r="E155" s="118" t="s">
        <v>188</v>
      </c>
      <c r="F155" s="204" t="s">
        <v>189</v>
      </c>
      <c r="G155" s="205"/>
      <c r="H155" s="205"/>
      <c r="I155" s="205"/>
      <c r="J155" s="119" t="s">
        <v>165</v>
      </c>
      <c r="K155" s="120">
        <v>5.159</v>
      </c>
      <c r="L155" s="206">
        <v>0</v>
      </c>
      <c r="M155" s="205"/>
      <c r="N155" s="207">
        <f>ROUND($L$155*$K$155,2)</f>
        <v>0</v>
      </c>
      <c r="O155" s="205"/>
      <c r="P155" s="205"/>
      <c r="Q155" s="205"/>
      <c r="R155" s="21"/>
      <c r="T155" s="121"/>
      <c r="U155" s="27" t="s">
        <v>37</v>
      </c>
      <c r="V155" s="122">
        <v>1.201</v>
      </c>
      <c r="W155" s="122">
        <f>$V$155*$K$155</f>
        <v>6.195959</v>
      </c>
      <c r="X155" s="122">
        <v>0</v>
      </c>
      <c r="Y155" s="122">
        <f>$X$155*$K$155</f>
        <v>0</v>
      </c>
      <c r="Z155" s="122">
        <v>0</v>
      </c>
      <c r="AA155" s="123">
        <f>$Z$155*$K$155</f>
        <v>0</v>
      </c>
      <c r="AR155" s="6" t="s">
        <v>166</v>
      </c>
      <c r="AT155" s="6" t="s">
        <v>162</v>
      </c>
      <c r="AU155" s="6" t="s">
        <v>102</v>
      </c>
      <c r="AY155" s="6" t="s">
        <v>161</v>
      </c>
      <c r="BE155" s="76">
        <f>IF($U$155="základní",$N$155,0)</f>
        <v>0</v>
      </c>
      <c r="BF155" s="76">
        <f>IF($U$155="snížená",$N$155,0)</f>
        <v>0</v>
      </c>
      <c r="BG155" s="76">
        <f>IF($U$155="zákl. přenesená",$N$155,0)</f>
        <v>0</v>
      </c>
      <c r="BH155" s="76">
        <f>IF($U$155="sníž. přenesená",$N$155,0)</f>
        <v>0</v>
      </c>
      <c r="BI155" s="76">
        <f>IF($U$155="nulová",$N$155,0)</f>
        <v>0</v>
      </c>
      <c r="BJ155" s="6" t="s">
        <v>16</v>
      </c>
      <c r="BK155" s="76">
        <f>ROUND($L$155*$K$155,2)</f>
        <v>0</v>
      </c>
    </row>
    <row r="156" spans="2:51" s="6" customFormat="1" ht="15.75" customHeight="1">
      <c r="B156" s="129"/>
      <c r="E156" s="130"/>
      <c r="F156" s="213" t="s">
        <v>99</v>
      </c>
      <c r="G156" s="214"/>
      <c r="H156" s="214"/>
      <c r="I156" s="214"/>
      <c r="K156" s="131">
        <v>5.159</v>
      </c>
      <c r="N156" s="130"/>
      <c r="R156" s="132"/>
      <c r="T156" s="133"/>
      <c r="AA156" s="134"/>
      <c r="AT156" s="130" t="s">
        <v>168</v>
      </c>
      <c r="AU156" s="130" t="s">
        <v>102</v>
      </c>
      <c r="AV156" s="130" t="s">
        <v>102</v>
      </c>
      <c r="AW156" s="130" t="s">
        <v>112</v>
      </c>
      <c r="AX156" s="130" t="s">
        <v>16</v>
      </c>
      <c r="AY156" s="130" t="s">
        <v>161</v>
      </c>
    </row>
    <row r="157" spans="2:63" s="6" customFormat="1" ht="27" customHeight="1">
      <c r="B157" s="20"/>
      <c r="C157" s="117" t="s">
        <v>190</v>
      </c>
      <c r="D157" s="117" t="s">
        <v>162</v>
      </c>
      <c r="E157" s="118" t="s">
        <v>191</v>
      </c>
      <c r="F157" s="204" t="s">
        <v>192</v>
      </c>
      <c r="G157" s="205"/>
      <c r="H157" s="205"/>
      <c r="I157" s="205"/>
      <c r="J157" s="119" t="s">
        <v>165</v>
      </c>
      <c r="K157" s="120">
        <v>41.272</v>
      </c>
      <c r="L157" s="206">
        <v>0</v>
      </c>
      <c r="M157" s="205"/>
      <c r="N157" s="207">
        <f>ROUND($L$157*$K$157,2)</f>
        <v>0</v>
      </c>
      <c r="O157" s="205"/>
      <c r="P157" s="205"/>
      <c r="Q157" s="205"/>
      <c r="R157" s="21"/>
      <c r="T157" s="121"/>
      <c r="U157" s="27" t="s">
        <v>37</v>
      </c>
      <c r="V157" s="122">
        <v>1.11</v>
      </c>
      <c r="W157" s="122">
        <f>$V$157*$K$157</f>
        <v>45.81192</v>
      </c>
      <c r="X157" s="122">
        <v>0</v>
      </c>
      <c r="Y157" s="122">
        <f>$X$157*$K$157</f>
        <v>0</v>
      </c>
      <c r="Z157" s="122">
        <v>0</v>
      </c>
      <c r="AA157" s="123">
        <f>$Z$157*$K$157</f>
        <v>0</v>
      </c>
      <c r="AR157" s="6" t="s">
        <v>166</v>
      </c>
      <c r="AT157" s="6" t="s">
        <v>162</v>
      </c>
      <c r="AU157" s="6" t="s">
        <v>102</v>
      </c>
      <c r="AY157" s="6" t="s">
        <v>161</v>
      </c>
      <c r="BE157" s="76">
        <f>IF($U$157="základní",$N$157,0)</f>
        <v>0</v>
      </c>
      <c r="BF157" s="76">
        <f>IF($U$157="snížená",$N$157,0)</f>
        <v>0</v>
      </c>
      <c r="BG157" s="76">
        <f>IF($U$157="zákl. přenesená",$N$157,0)</f>
        <v>0</v>
      </c>
      <c r="BH157" s="76">
        <f>IF($U$157="sníž. přenesená",$N$157,0)</f>
        <v>0</v>
      </c>
      <c r="BI157" s="76">
        <f>IF($U$157="nulová",$N$157,0)</f>
        <v>0</v>
      </c>
      <c r="BJ157" s="6" t="s">
        <v>16</v>
      </c>
      <c r="BK157" s="76">
        <f>ROUND($L$157*$K$157,2)</f>
        <v>0</v>
      </c>
    </row>
    <row r="158" spans="2:51" s="6" customFormat="1" ht="15.75" customHeight="1">
      <c r="B158" s="129"/>
      <c r="E158" s="130"/>
      <c r="F158" s="213" t="s">
        <v>193</v>
      </c>
      <c r="G158" s="214"/>
      <c r="H158" s="214"/>
      <c r="I158" s="214"/>
      <c r="K158" s="131">
        <v>10.318</v>
      </c>
      <c r="N158" s="130"/>
      <c r="R158" s="132"/>
      <c r="T158" s="133"/>
      <c r="AA158" s="134"/>
      <c r="AT158" s="130" t="s">
        <v>168</v>
      </c>
      <c r="AU158" s="130" t="s">
        <v>102</v>
      </c>
      <c r="AV158" s="130" t="s">
        <v>102</v>
      </c>
      <c r="AW158" s="130" t="s">
        <v>112</v>
      </c>
      <c r="AX158" s="130" t="s">
        <v>16</v>
      </c>
      <c r="AY158" s="130" t="s">
        <v>161</v>
      </c>
    </row>
    <row r="159" spans="2:63" s="107" customFormat="1" ht="30.75" customHeight="1">
      <c r="B159" s="108"/>
      <c r="D159" s="116" t="s">
        <v>115</v>
      </c>
      <c r="N159" s="222">
        <f>$BK$159</f>
        <v>0</v>
      </c>
      <c r="O159" s="210"/>
      <c r="P159" s="210"/>
      <c r="Q159" s="210"/>
      <c r="R159" s="111"/>
      <c r="T159" s="112"/>
      <c r="W159" s="113">
        <f>SUM($W$160:$W$165)</f>
        <v>0.3828</v>
      </c>
      <c r="Y159" s="113">
        <f>SUM($Y$160:$Y$165)</f>
        <v>0.16984349999999998</v>
      </c>
      <c r="AA159" s="114">
        <f>SUM($AA$160:$AA$165)</f>
        <v>0</v>
      </c>
      <c r="AR159" s="110" t="s">
        <v>16</v>
      </c>
      <c r="AT159" s="110" t="s">
        <v>71</v>
      </c>
      <c r="AU159" s="110" t="s">
        <v>16</v>
      </c>
      <c r="AY159" s="110" t="s">
        <v>161</v>
      </c>
      <c r="BK159" s="115">
        <f>SUM($BK$160:$BK$165)</f>
        <v>0</v>
      </c>
    </row>
    <row r="160" spans="2:63" s="6" customFormat="1" ht="15.75" customHeight="1">
      <c r="B160" s="20"/>
      <c r="C160" s="117" t="s">
        <v>194</v>
      </c>
      <c r="D160" s="117" t="s">
        <v>162</v>
      </c>
      <c r="E160" s="118" t="s">
        <v>195</v>
      </c>
      <c r="F160" s="204" t="s">
        <v>196</v>
      </c>
      <c r="G160" s="205"/>
      <c r="H160" s="205"/>
      <c r="I160" s="205"/>
      <c r="J160" s="119" t="s">
        <v>165</v>
      </c>
      <c r="K160" s="120">
        <v>0.075</v>
      </c>
      <c r="L160" s="206">
        <v>0</v>
      </c>
      <c r="M160" s="205"/>
      <c r="N160" s="207">
        <f>ROUND($L$160*$K$160,2)</f>
        <v>0</v>
      </c>
      <c r="O160" s="205"/>
      <c r="P160" s="205"/>
      <c r="Q160" s="205"/>
      <c r="R160" s="21"/>
      <c r="T160" s="121"/>
      <c r="U160" s="27" t="s">
        <v>37</v>
      </c>
      <c r="V160" s="122">
        <v>0.584</v>
      </c>
      <c r="W160" s="122">
        <f>$V$160*$K$160</f>
        <v>0.0438</v>
      </c>
      <c r="X160" s="122">
        <v>2.25634</v>
      </c>
      <c r="Y160" s="122">
        <f>$X$160*$K$160</f>
        <v>0.16922549999999997</v>
      </c>
      <c r="Z160" s="122">
        <v>0</v>
      </c>
      <c r="AA160" s="123">
        <f>$Z$160*$K$160</f>
        <v>0</v>
      </c>
      <c r="AR160" s="6" t="s">
        <v>166</v>
      </c>
      <c r="AT160" s="6" t="s">
        <v>162</v>
      </c>
      <c r="AU160" s="6" t="s">
        <v>102</v>
      </c>
      <c r="AY160" s="6" t="s">
        <v>161</v>
      </c>
      <c r="BE160" s="76">
        <f>IF($U$160="základní",$N$160,0)</f>
        <v>0</v>
      </c>
      <c r="BF160" s="76">
        <f>IF($U$160="snížená",$N$160,0)</f>
        <v>0</v>
      </c>
      <c r="BG160" s="76">
        <f>IF($U$160="zákl. přenesená",$N$160,0)</f>
        <v>0</v>
      </c>
      <c r="BH160" s="76">
        <f>IF($U$160="sníž. přenesená",$N$160,0)</f>
        <v>0</v>
      </c>
      <c r="BI160" s="76">
        <f>IF($U$160="nulová",$N$160,0)</f>
        <v>0</v>
      </c>
      <c r="BJ160" s="6" t="s">
        <v>16</v>
      </c>
      <c r="BK160" s="76">
        <f>ROUND($L$160*$K$160,2)</f>
        <v>0</v>
      </c>
    </row>
    <row r="161" spans="2:51" s="6" customFormat="1" ht="15.75" customHeight="1">
      <c r="B161" s="124"/>
      <c r="E161" s="125"/>
      <c r="F161" s="211" t="s">
        <v>167</v>
      </c>
      <c r="G161" s="212"/>
      <c r="H161" s="212"/>
      <c r="I161" s="212"/>
      <c r="K161" s="125"/>
      <c r="N161" s="125"/>
      <c r="R161" s="126"/>
      <c r="T161" s="127"/>
      <c r="AA161" s="128"/>
      <c r="AT161" s="125" t="s">
        <v>168</v>
      </c>
      <c r="AU161" s="125" t="s">
        <v>102</v>
      </c>
      <c r="AV161" s="125" t="s">
        <v>16</v>
      </c>
      <c r="AW161" s="125" t="s">
        <v>112</v>
      </c>
      <c r="AX161" s="125" t="s">
        <v>72</v>
      </c>
      <c r="AY161" s="125" t="s">
        <v>161</v>
      </c>
    </row>
    <row r="162" spans="2:51" s="6" customFormat="1" ht="15.75" customHeight="1">
      <c r="B162" s="129"/>
      <c r="E162" s="130"/>
      <c r="F162" s="213" t="s">
        <v>197</v>
      </c>
      <c r="G162" s="214"/>
      <c r="H162" s="214"/>
      <c r="I162" s="214"/>
      <c r="K162" s="131">
        <v>0.075</v>
      </c>
      <c r="N162" s="130"/>
      <c r="R162" s="132"/>
      <c r="T162" s="133"/>
      <c r="AA162" s="134"/>
      <c r="AT162" s="130" t="s">
        <v>168</v>
      </c>
      <c r="AU162" s="130" t="s">
        <v>102</v>
      </c>
      <c r="AV162" s="130" t="s">
        <v>102</v>
      </c>
      <c r="AW162" s="130" t="s">
        <v>112</v>
      </c>
      <c r="AX162" s="130" t="s">
        <v>16</v>
      </c>
      <c r="AY162" s="130" t="s">
        <v>161</v>
      </c>
    </row>
    <row r="163" spans="2:63" s="6" customFormat="1" ht="15.75" customHeight="1">
      <c r="B163" s="20"/>
      <c r="C163" s="117" t="s">
        <v>20</v>
      </c>
      <c r="D163" s="117" t="s">
        <v>162</v>
      </c>
      <c r="E163" s="118" t="s">
        <v>198</v>
      </c>
      <c r="F163" s="204" t="s">
        <v>199</v>
      </c>
      <c r="G163" s="205"/>
      <c r="H163" s="205"/>
      <c r="I163" s="205"/>
      <c r="J163" s="119" t="s">
        <v>174</v>
      </c>
      <c r="K163" s="120">
        <v>0.6</v>
      </c>
      <c r="L163" s="206">
        <v>0</v>
      </c>
      <c r="M163" s="205"/>
      <c r="N163" s="207">
        <f>ROUND($L$163*$K$163,2)</f>
        <v>0</v>
      </c>
      <c r="O163" s="205"/>
      <c r="P163" s="205"/>
      <c r="Q163" s="205"/>
      <c r="R163" s="21"/>
      <c r="T163" s="121"/>
      <c r="U163" s="27" t="s">
        <v>37</v>
      </c>
      <c r="V163" s="122">
        <v>0.364</v>
      </c>
      <c r="W163" s="122">
        <f>$V$163*$K$163</f>
        <v>0.21839999999999998</v>
      </c>
      <c r="X163" s="122">
        <v>0.00103</v>
      </c>
      <c r="Y163" s="122">
        <f>$X$163*$K$163</f>
        <v>0.0006180000000000001</v>
      </c>
      <c r="Z163" s="122">
        <v>0</v>
      </c>
      <c r="AA163" s="123">
        <f>$Z$163*$K$163</f>
        <v>0</v>
      </c>
      <c r="AR163" s="6" t="s">
        <v>166</v>
      </c>
      <c r="AT163" s="6" t="s">
        <v>162</v>
      </c>
      <c r="AU163" s="6" t="s">
        <v>102</v>
      </c>
      <c r="AY163" s="6" t="s">
        <v>161</v>
      </c>
      <c r="BE163" s="76">
        <f>IF($U$163="základní",$N$163,0)</f>
        <v>0</v>
      </c>
      <c r="BF163" s="76">
        <f>IF($U$163="snížená",$N$163,0)</f>
        <v>0</v>
      </c>
      <c r="BG163" s="76">
        <f>IF($U$163="zákl. přenesená",$N$163,0)</f>
        <v>0</v>
      </c>
      <c r="BH163" s="76">
        <f>IF($U$163="sníž. přenesená",$N$163,0)</f>
        <v>0</v>
      </c>
      <c r="BI163" s="76">
        <f>IF($U$163="nulová",$N$163,0)</f>
        <v>0</v>
      </c>
      <c r="BJ163" s="6" t="s">
        <v>16</v>
      </c>
      <c r="BK163" s="76">
        <f>ROUND($L$163*$K$163,2)</f>
        <v>0</v>
      </c>
    </row>
    <row r="164" spans="2:51" s="6" customFormat="1" ht="15.75" customHeight="1">
      <c r="B164" s="129"/>
      <c r="E164" s="130"/>
      <c r="F164" s="213" t="s">
        <v>200</v>
      </c>
      <c r="G164" s="214"/>
      <c r="H164" s="214"/>
      <c r="I164" s="214"/>
      <c r="K164" s="131">
        <v>0.6</v>
      </c>
      <c r="N164" s="130"/>
      <c r="R164" s="132"/>
      <c r="T164" s="133"/>
      <c r="AA164" s="134"/>
      <c r="AT164" s="130" t="s">
        <v>168</v>
      </c>
      <c r="AU164" s="130" t="s">
        <v>102</v>
      </c>
      <c r="AV164" s="130" t="s">
        <v>102</v>
      </c>
      <c r="AW164" s="130" t="s">
        <v>112</v>
      </c>
      <c r="AX164" s="130" t="s">
        <v>16</v>
      </c>
      <c r="AY164" s="130" t="s">
        <v>161</v>
      </c>
    </row>
    <row r="165" spans="2:63" s="6" customFormat="1" ht="15.75" customHeight="1">
      <c r="B165" s="20"/>
      <c r="C165" s="117" t="s">
        <v>201</v>
      </c>
      <c r="D165" s="117" t="s">
        <v>162</v>
      </c>
      <c r="E165" s="118" t="s">
        <v>202</v>
      </c>
      <c r="F165" s="204" t="s">
        <v>203</v>
      </c>
      <c r="G165" s="205"/>
      <c r="H165" s="205"/>
      <c r="I165" s="205"/>
      <c r="J165" s="119" t="s">
        <v>174</v>
      </c>
      <c r="K165" s="120">
        <v>0.6</v>
      </c>
      <c r="L165" s="206">
        <v>0</v>
      </c>
      <c r="M165" s="205"/>
      <c r="N165" s="207">
        <f>ROUND($L$165*$K$165,2)</f>
        <v>0</v>
      </c>
      <c r="O165" s="205"/>
      <c r="P165" s="205"/>
      <c r="Q165" s="205"/>
      <c r="R165" s="21"/>
      <c r="T165" s="121"/>
      <c r="U165" s="27" t="s">
        <v>37</v>
      </c>
      <c r="V165" s="122">
        <v>0.201</v>
      </c>
      <c r="W165" s="122">
        <f>$V$165*$K$165</f>
        <v>0.1206</v>
      </c>
      <c r="X165" s="122">
        <v>0</v>
      </c>
      <c r="Y165" s="122">
        <f>$X$165*$K$165</f>
        <v>0</v>
      </c>
      <c r="Z165" s="122">
        <v>0</v>
      </c>
      <c r="AA165" s="123">
        <f>$Z$165*$K$165</f>
        <v>0</v>
      </c>
      <c r="AR165" s="6" t="s">
        <v>166</v>
      </c>
      <c r="AT165" s="6" t="s">
        <v>162</v>
      </c>
      <c r="AU165" s="6" t="s">
        <v>102</v>
      </c>
      <c r="AY165" s="6" t="s">
        <v>161</v>
      </c>
      <c r="BE165" s="76">
        <f>IF($U$165="základní",$N$165,0)</f>
        <v>0</v>
      </c>
      <c r="BF165" s="76">
        <f>IF($U$165="snížená",$N$165,0)</f>
        <v>0</v>
      </c>
      <c r="BG165" s="76">
        <f>IF($U$165="zákl. přenesená",$N$165,0)</f>
        <v>0</v>
      </c>
      <c r="BH165" s="76">
        <f>IF($U$165="sníž. přenesená",$N$165,0)</f>
        <v>0</v>
      </c>
      <c r="BI165" s="76">
        <f>IF($U$165="nulová",$N$165,0)</f>
        <v>0</v>
      </c>
      <c r="BJ165" s="6" t="s">
        <v>16</v>
      </c>
      <c r="BK165" s="76">
        <f>ROUND($L$165*$K$165,2)</f>
        <v>0</v>
      </c>
    </row>
    <row r="166" spans="2:63" s="107" customFormat="1" ht="30.75" customHeight="1">
      <c r="B166" s="108"/>
      <c r="D166" s="116" t="s">
        <v>116</v>
      </c>
      <c r="N166" s="222">
        <f>$BK$166</f>
        <v>0</v>
      </c>
      <c r="O166" s="210"/>
      <c r="P166" s="210"/>
      <c r="Q166" s="210"/>
      <c r="R166" s="111"/>
      <c r="T166" s="112"/>
      <c r="W166" s="113">
        <f>SUM($W$167:$W$198)</f>
        <v>60.830003999999995</v>
      </c>
      <c r="Y166" s="113">
        <f>SUM($Y$167:$Y$198)</f>
        <v>11.96884338</v>
      </c>
      <c r="AA166" s="114">
        <f>SUM($AA$167:$AA$198)</f>
        <v>0</v>
      </c>
      <c r="AR166" s="110" t="s">
        <v>16</v>
      </c>
      <c r="AT166" s="110" t="s">
        <v>71</v>
      </c>
      <c r="AU166" s="110" t="s">
        <v>16</v>
      </c>
      <c r="AY166" s="110" t="s">
        <v>161</v>
      </c>
      <c r="BK166" s="115">
        <f>SUM($BK$167:$BK$198)</f>
        <v>0</v>
      </c>
    </row>
    <row r="167" spans="2:63" s="6" customFormat="1" ht="27" customHeight="1">
      <c r="B167" s="20"/>
      <c r="C167" s="117" t="s">
        <v>204</v>
      </c>
      <c r="D167" s="117" t="s">
        <v>162</v>
      </c>
      <c r="E167" s="118" t="s">
        <v>205</v>
      </c>
      <c r="F167" s="204" t="s">
        <v>206</v>
      </c>
      <c r="G167" s="205"/>
      <c r="H167" s="205"/>
      <c r="I167" s="205"/>
      <c r="J167" s="119" t="s">
        <v>165</v>
      </c>
      <c r="K167" s="120">
        <v>7.515</v>
      </c>
      <c r="L167" s="206">
        <v>0</v>
      </c>
      <c r="M167" s="205"/>
      <c r="N167" s="207">
        <f>ROUND($L$167*$K$167,2)</f>
        <v>0</v>
      </c>
      <c r="O167" s="205"/>
      <c r="P167" s="205"/>
      <c r="Q167" s="205"/>
      <c r="R167" s="21"/>
      <c r="T167" s="121"/>
      <c r="U167" s="27" t="s">
        <v>37</v>
      </c>
      <c r="V167" s="122">
        <v>2.708</v>
      </c>
      <c r="W167" s="122">
        <f>$V$167*$K$167</f>
        <v>20.35062</v>
      </c>
      <c r="X167" s="122">
        <v>0</v>
      </c>
      <c r="Y167" s="122">
        <f>$X$167*$K$167</f>
        <v>0</v>
      </c>
      <c r="Z167" s="122">
        <v>0</v>
      </c>
      <c r="AA167" s="123">
        <f>$Z$167*$K$167</f>
        <v>0</v>
      </c>
      <c r="AR167" s="6" t="s">
        <v>166</v>
      </c>
      <c r="AT167" s="6" t="s">
        <v>162</v>
      </c>
      <c r="AU167" s="6" t="s">
        <v>102</v>
      </c>
      <c r="AY167" s="6" t="s">
        <v>161</v>
      </c>
      <c r="BE167" s="76">
        <f>IF($U$167="základní",$N$167,0)</f>
        <v>0</v>
      </c>
      <c r="BF167" s="76">
        <f>IF($U$167="snížená",$N$167,0)</f>
        <v>0</v>
      </c>
      <c r="BG167" s="76">
        <f>IF($U$167="zákl. přenesená",$N$167,0)</f>
        <v>0</v>
      </c>
      <c r="BH167" s="76">
        <f>IF($U$167="sníž. přenesená",$N$167,0)</f>
        <v>0</v>
      </c>
      <c r="BI167" s="76">
        <f>IF($U$167="nulová",$N$167,0)</f>
        <v>0</v>
      </c>
      <c r="BJ167" s="6" t="s">
        <v>16</v>
      </c>
      <c r="BK167" s="76">
        <f>ROUND($L$167*$K$167,2)</f>
        <v>0</v>
      </c>
    </row>
    <row r="168" spans="2:63" s="6" customFormat="1" ht="27" customHeight="1">
      <c r="B168" s="20"/>
      <c r="C168" s="117" t="s">
        <v>207</v>
      </c>
      <c r="D168" s="117" t="s">
        <v>162</v>
      </c>
      <c r="E168" s="118" t="s">
        <v>208</v>
      </c>
      <c r="F168" s="204" t="s">
        <v>209</v>
      </c>
      <c r="G168" s="205"/>
      <c r="H168" s="205"/>
      <c r="I168" s="205"/>
      <c r="J168" s="119" t="s">
        <v>165</v>
      </c>
      <c r="K168" s="120">
        <v>3.5</v>
      </c>
      <c r="L168" s="206">
        <v>0</v>
      </c>
      <c r="M168" s="205"/>
      <c r="N168" s="207">
        <f>ROUND($L$168*$K$168,2)</f>
        <v>0</v>
      </c>
      <c r="O168" s="205"/>
      <c r="P168" s="205"/>
      <c r="Q168" s="205"/>
      <c r="R168" s="21"/>
      <c r="T168" s="121"/>
      <c r="U168" s="27" t="s">
        <v>37</v>
      </c>
      <c r="V168" s="122">
        <v>3.842</v>
      </c>
      <c r="W168" s="122">
        <f>$V$168*$K$168</f>
        <v>13.447000000000001</v>
      </c>
      <c r="X168" s="122">
        <v>1.7545</v>
      </c>
      <c r="Y168" s="122">
        <f>$X$168*$K$168</f>
        <v>6.14075</v>
      </c>
      <c r="Z168" s="122">
        <v>0</v>
      </c>
      <c r="AA168" s="123">
        <f>$Z$168*$K$168</f>
        <v>0</v>
      </c>
      <c r="AR168" s="6" t="s">
        <v>166</v>
      </c>
      <c r="AT168" s="6" t="s">
        <v>162</v>
      </c>
      <c r="AU168" s="6" t="s">
        <v>102</v>
      </c>
      <c r="AY168" s="6" t="s">
        <v>161</v>
      </c>
      <c r="BE168" s="76">
        <f>IF($U$168="základní",$N$168,0)</f>
        <v>0</v>
      </c>
      <c r="BF168" s="76">
        <f>IF($U$168="snížená",$N$168,0)</f>
        <v>0</v>
      </c>
      <c r="BG168" s="76">
        <f>IF($U$168="zákl. přenesená",$N$168,0)</f>
        <v>0</v>
      </c>
      <c r="BH168" s="76">
        <f>IF($U$168="sníž. přenesená",$N$168,0)</f>
        <v>0</v>
      </c>
      <c r="BI168" s="76">
        <f>IF($U$168="nulová",$N$168,0)</f>
        <v>0</v>
      </c>
      <c r="BJ168" s="6" t="s">
        <v>16</v>
      </c>
      <c r="BK168" s="76">
        <f>ROUND($L$168*$K$168,2)</f>
        <v>0</v>
      </c>
    </row>
    <row r="169" spans="2:51" s="6" customFormat="1" ht="15.75" customHeight="1">
      <c r="B169" s="124"/>
      <c r="E169" s="125"/>
      <c r="F169" s="211" t="s">
        <v>210</v>
      </c>
      <c r="G169" s="212"/>
      <c r="H169" s="212"/>
      <c r="I169" s="212"/>
      <c r="K169" s="125"/>
      <c r="N169" s="125"/>
      <c r="R169" s="126"/>
      <c r="T169" s="127"/>
      <c r="AA169" s="128"/>
      <c r="AT169" s="125" t="s">
        <v>168</v>
      </c>
      <c r="AU169" s="125" t="s">
        <v>102</v>
      </c>
      <c r="AV169" s="125" t="s">
        <v>16</v>
      </c>
      <c r="AW169" s="125" t="s">
        <v>112</v>
      </c>
      <c r="AX169" s="125" t="s">
        <v>72</v>
      </c>
      <c r="AY169" s="125" t="s">
        <v>161</v>
      </c>
    </row>
    <row r="170" spans="2:51" s="6" customFormat="1" ht="15.75" customHeight="1">
      <c r="B170" s="129"/>
      <c r="E170" s="130"/>
      <c r="F170" s="213" t="s">
        <v>211</v>
      </c>
      <c r="G170" s="214"/>
      <c r="H170" s="214"/>
      <c r="I170" s="214"/>
      <c r="K170" s="131">
        <v>3.5</v>
      </c>
      <c r="N170" s="130"/>
      <c r="R170" s="132"/>
      <c r="T170" s="133"/>
      <c r="AA170" s="134"/>
      <c r="AT170" s="130" t="s">
        <v>168</v>
      </c>
      <c r="AU170" s="130" t="s">
        <v>102</v>
      </c>
      <c r="AV170" s="130" t="s">
        <v>102</v>
      </c>
      <c r="AW170" s="130" t="s">
        <v>112</v>
      </c>
      <c r="AX170" s="130" t="s">
        <v>16</v>
      </c>
      <c r="AY170" s="130" t="s">
        <v>161</v>
      </c>
    </row>
    <row r="171" spans="2:63" s="6" customFormat="1" ht="27" customHeight="1">
      <c r="B171" s="20"/>
      <c r="C171" s="117" t="s">
        <v>212</v>
      </c>
      <c r="D171" s="117" t="s">
        <v>162</v>
      </c>
      <c r="E171" s="118" t="s">
        <v>213</v>
      </c>
      <c r="F171" s="204" t="s">
        <v>214</v>
      </c>
      <c r="G171" s="205"/>
      <c r="H171" s="205"/>
      <c r="I171" s="205"/>
      <c r="J171" s="119" t="s">
        <v>174</v>
      </c>
      <c r="K171" s="120">
        <v>8.346</v>
      </c>
      <c r="L171" s="206">
        <v>0</v>
      </c>
      <c r="M171" s="205"/>
      <c r="N171" s="207">
        <f>ROUND($L$171*$K$171,2)</f>
        <v>0</v>
      </c>
      <c r="O171" s="205"/>
      <c r="P171" s="205"/>
      <c r="Q171" s="205"/>
      <c r="R171" s="21"/>
      <c r="T171" s="121"/>
      <c r="U171" s="27" t="s">
        <v>37</v>
      </c>
      <c r="V171" s="122">
        <v>0.9</v>
      </c>
      <c r="W171" s="122">
        <f>$V$171*$K$171</f>
        <v>7.5114</v>
      </c>
      <c r="X171" s="122">
        <v>0.25041</v>
      </c>
      <c r="Y171" s="122">
        <f>$X$171*$K$171</f>
        <v>2.08992186</v>
      </c>
      <c r="Z171" s="122">
        <v>0</v>
      </c>
      <c r="AA171" s="123">
        <f>$Z$171*$K$171</f>
        <v>0</v>
      </c>
      <c r="AR171" s="6" t="s">
        <v>166</v>
      </c>
      <c r="AT171" s="6" t="s">
        <v>162</v>
      </c>
      <c r="AU171" s="6" t="s">
        <v>102</v>
      </c>
      <c r="AY171" s="6" t="s">
        <v>161</v>
      </c>
      <c r="BE171" s="76">
        <f>IF($U$171="základní",$N$171,0)</f>
        <v>0</v>
      </c>
      <c r="BF171" s="76">
        <f>IF($U$171="snížená",$N$171,0)</f>
        <v>0</v>
      </c>
      <c r="BG171" s="76">
        <f>IF($U$171="zákl. přenesená",$N$171,0)</f>
        <v>0</v>
      </c>
      <c r="BH171" s="76">
        <f>IF($U$171="sníž. přenesená",$N$171,0)</f>
        <v>0</v>
      </c>
      <c r="BI171" s="76">
        <f>IF($U$171="nulová",$N$171,0)</f>
        <v>0</v>
      </c>
      <c r="BJ171" s="6" t="s">
        <v>16</v>
      </c>
      <c r="BK171" s="76">
        <f>ROUND($L$171*$K$171,2)</f>
        <v>0</v>
      </c>
    </row>
    <row r="172" spans="2:51" s="6" customFormat="1" ht="15.75" customHeight="1">
      <c r="B172" s="124"/>
      <c r="E172" s="125"/>
      <c r="F172" s="211" t="s">
        <v>167</v>
      </c>
      <c r="G172" s="212"/>
      <c r="H172" s="212"/>
      <c r="I172" s="212"/>
      <c r="K172" s="125"/>
      <c r="N172" s="125"/>
      <c r="R172" s="126"/>
      <c r="T172" s="127"/>
      <c r="AA172" s="128"/>
      <c r="AT172" s="125" t="s">
        <v>168</v>
      </c>
      <c r="AU172" s="125" t="s">
        <v>102</v>
      </c>
      <c r="AV172" s="125" t="s">
        <v>16</v>
      </c>
      <c r="AW172" s="125" t="s">
        <v>112</v>
      </c>
      <c r="AX172" s="125" t="s">
        <v>72</v>
      </c>
      <c r="AY172" s="125" t="s">
        <v>161</v>
      </c>
    </row>
    <row r="173" spans="2:51" s="6" customFormat="1" ht="15.75" customHeight="1">
      <c r="B173" s="124"/>
      <c r="E173" s="125"/>
      <c r="F173" s="211" t="s">
        <v>215</v>
      </c>
      <c r="G173" s="212"/>
      <c r="H173" s="212"/>
      <c r="I173" s="212"/>
      <c r="K173" s="125"/>
      <c r="N173" s="125"/>
      <c r="R173" s="126"/>
      <c r="T173" s="127"/>
      <c r="AA173" s="128"/>
      <c r="AT173" s="125" t="s">
        <v>168</v>
      </c>
      <c r="AU173" s="125" t="s">
        <v>102</v>
      </c>
      <c r="AV173" s="125" t="s">
        <v>16</v>
      </c>
      <c r="AW173" s="125" t="s">
        <v>112</v>
      </c>
      <c r="AX173" s="125" t="s">
        <v>72</v>
      </c>
      <c r="AY173" s="125" t="s">
        <v>161</v>
      </c>
    </row>
    <row r="174" spans="2:51" s="6" customFormat="1" ht="15.75" customHeight="1">
      <c r="B174" s="129"/>
      <c r="E174" s="130"/>
      <c r="F174" s="213" t="s">
        <v>216</v>
      </c>
      <c r="G174" s="214"/>
      <c r="H174" s="214"/>
      <c r="I174" s="214"/>
      <c r="K174" s="131">
        <v>8.346</v>
      </c>
      <c r="N174" s="130"/>
      <c r="R174" s="132"/>
      <c r="T174" s="133"/>
      <c r="AA174" s="134"/>
      <c r="AT174" s="130" t="s">
        <v>168</v>
      </c>
      <c r="AU174" s="130" t="s">
        <v>102</v>
      </c>
      <c r="AV174" s="130" t="s">
        <v>102</v>
      </c>
      <c r="AW174" s="130" t="s">
        <v>112</v>
      </c>
      <c r="AX174" s="130" t="s">
        <v>72</v>
      </c>
      <c r="AY174" s="130" t="s">
        <v>161</v>
      </c>
    </row>
    <row r="175" spans="2:51" s="6" customFormat="1" ht="15.75" customHeight="1">
      <c r="B175" s="135"/>
      <c r="E175" s="136"/>
      <c r="F175" s="215" t="s">
        <v>171</v>
      </c>
      <c r="G175" s="216"/>
      <c r="H175" s="216"/>
      <c r="I175" s="216"/>
      <c r="K175" s="137">
        <v>8.346</v>
      </c>
      <c r="N175" s="136"/>
      <c r="R175" s="138"/>
      <c r="T175" s="139"/>
      <c r="AA175" s="140"/>
      <c r="AT175" s="136" t="s">
        <v>168</v>
      </c>
      <c r="AU175" s="136" t="s">
        <v>102</v>
      </c>
      <c r="AV175" s="136" t="s">
        <v>166</v>
      </c>
      <c r="AW175" s="136" t="s">
        <v>112</v>
      </c>
      <c r="AX175" s="136" t="s">
        <v>16</v>
      </c>
      <c r="AY175" s="136" t="s">
        <v>161</v>
      </c>
    </row>
    <row r="176" spans="2:63" s="6" customFormat="1" ht="27" customHeight="1">
      <c r="B176" s="20"/>
      <c r="C176" s="117" t="s">
        <v>8</v>
      </c>
      <c r="D176" s="117" t="s">
        <v>162</v>
      </c>
      <c r="E176" s="118" t="s">
        <v>217</v>
      </c>
      <c r="F176" s="204" t="s">
        <v>218</v>
      </c>
      <c r="G176" s="205"/>
      <c r="H176" s="205"/>
      <c r="I176" s="205"/>
      <c r="J176" s="119" t="s">
        <v>174</v>
      </c>
      <c r="K176" s="120">
        <v>7.515</v>
      </c>
      <c r="L176" s="206">
        <v>0</v>
      </c>
      <c r="M176" s="205"/>
      <c r="N176" s="207">
        <f>ROUND($L$176*$K$176,2)</f>
        <v>0</v>
      </c>
      <c r="O176" s="205"/>
      <c r="P176" s="205"/>
      <c r="Q176" s="205"/>
      <c r="R176" s="21"/>
      <c r="T176" s="121"/>
      <c r="U176" s="27" t="s">
        <v>37</v>
      </c>
      <c r="V176" s="122">
        <v>0.83</v>
      </c>
      <c r="W176" s="122">
        <f>$V$176*$K$176</f>
        <v>6.237449999999999</v>
      </c>
      <c r="X176" s="122">
        <v>0.26119</v>
      </c>
      <c r="Y176" s="122">
        <f>$X$176*$K$176</f>
        <v>1.9628428499999997</v>
      </c>
      <c r="Z176" s="122">
        <v>0</v>
      </c>
      <c r="AA176" s="123">
        <f>$Z$176*$K$176</f>
        <v>0</v>
      </c>
      <c r="AR176" s="6" t="s">
        <v>166</v>
      </c>
      <c r="AT176" s="6" t="s">
        <v>162</v>
      </c>
      <c r="AU176" s="6" t="s">
        <v>102</v>
      </c>
      <c r="AY176" s="6" t="s">
        <v>161</v>
      </c>
      <c r="BE176" s="76">
        <f>IF($U$176="základní",$N$176,0)</f>
        <v>0</v>
      </c>
      <c r="BF176" s="76">
        <f>IF($U$176="snížená",$N$176,0)</f>
        <v>0</v>
      </c>
      <c r="BG176" s="76">
        <f>IF($U$176="zákl. přenesená",$N$176,0)</f>
        <v>0</v>
      </c>
      <c r="BH176" s="76">
        <f>IF($U$176="sníž. přenesená",$N$176,0)</f>
        <v>0</v>
      </c>
      <c r="BI176" s="76">
        <f>IF($U$176="nulová",$N$176,0)</f>
        <v>0</v>
      </c>
      <c r="BJ176" s="6" t="s">
        <v>16</v>
      </c>
      <c r="BK176" s="76">
        <f>ROUND($L$176*$K$176,2)</f>
        <v>0</v>
      </c>
    </row>
    <row r="177" spans="2:51" s="6" customFormat="1" ht="15.75" customHeight="1">
      <c r="B177" s="124"/>
      <c r="E177" s="125"/>
      <c r="F177" s="211" t="s">
        <v>219</v>
      </c>
      <c r="G177" s="212"/>
      <c r="H177" s="212"/>
      <c r="I177" s="212"/>
      <c r="K177" s="125"/>
      <c r="N177" s="125"/>
      <c r="R177" s="126"/>
      <c r="T177" s="127"/>
      <c r="AA177" s="128"/>
      <c r="AT177" s="125" t="s">
        <v>168</v>
      </c>
      <c r="AU177" s="125" t="s">
        <v>102</v>
      </c>
      <c r="AV177" s="125" t="s">
        <v>16</v>
      </c>
      <c r="AW177" s="125" t="s">
        <v>112</v>
      </c>
      <c r="AX177" s="125" t="s">
        <v>72</v>
      </c>
      <c r="AY177" s="125" t="s">
        <v>161</v>
      </c>
    </row>
    <row r="178" spans="2:51" s="6" customFormat="1" ht="15.75" customHeight="1">
      <c r="B178" s="129"/>
      <c r="E178" s="130"/>
      <c r="F178" s="213" t="s">
        <v>220</v>
      </c>
      <c r="G178" s="214"/>
      <c r="H178" s="214"/>
      <c r="I178" s="214"/>
      <c r="K178" s="131">
        <v>7.515</v>
      </c>
      <c r="N178" s="130"/>
      <c r="R178" s="132"/>
      <c r="T178" s="133"/>
      <c r="AA178" s="134"/>
      <c r="AT178" s="130" t="s">
        <v>168</v>
      </c>
      <c r="AU178" s="130" t="s">
        <v>102</v>
      </c>
      <c r="AV178" s="130" t="s">
        <v>102</v>
      </c>
      <c r="AW178" s="130" t="s">
        <v>112</v>
      </c>
      <c r="AX178" s="130" t="s">
        <v>72</v>
      </c>
      <c r="AY178" s="130" t="s">
        <v>161</v>
      </c>
    </row>
    <row r="179" spans="2:51" s="6" customFormat="1" ht="15.75" customHeight="1">
      <c r="B179" s="135"/>
      <c r="E179" s="136"/>
      <c r="F179" s="215" t="s">
        <v>171</v>
      </c>
      <c r="G179" s="216"/>
      <c r="H179" s="216"/>
      <c r="I179" s="216"/>
      <c r="K179" s="137">
        <v>7.515</v>
      </c>
      <c r="N179" s="136"/>
      <c r="R179" s="138"/>
      <c r="T179" s="139"/>
      <c r="AA179" s="140"/>
      <c r="AT179" s="136" t="s">
        <v>168</v>
      </c>
      <c r="AU179" s="136" t="s">
        <v>102</v>
      </c>
      <c r="AV179" s="136" t="s">
        <v>166</v>
      </c>
      <c r="AW179" s="136" t="s">
        <v>112</v>
      </c>
      <c r="AX179" s="136" t="s">
        <v>16</v>
      </c>
      <c r="AY179" s="136" t="s">
        <v>161</v>
      </c>
    </row>
    <row r="180" spans="2:63" s="6" customFormat="1" ht="27" customHeight="1">
      <c r="B180" s="20"/>
      <c r="C180" s="117" t="s">
        <v>221</v>
      </c>
      <c r="D180" s="117" t="s">
        <v>162</v>
      </c>
      <c r="E180" s="118" t="s">
        <v>222</v>
      </c>
      <c r="F180" s="204" t="s">
        <v>223</v>
      </c>
      <c r="G180" s="205"/>
      <c r="H180" s="205"/>
      <c r="I180" s="205"/>
      <c r="J180" s="119" t="s">
        <v>224</v>
      </c>
      <c r="K180" s="120">
        <v>0.04</v>
      </c>
      <c r="L180" s="206">
        <v>0</v>
      </c>
      <c r="M180" s="205"/>
      <c r="N180" s="207">
        <f>ROUND($L$180*$K$180,2)</f>
        <v>0</v>
      </c>
      <c r="O180" s="205"/>
      <c r="P180" s="205"/>
      <c r="Q180" s="205"/>
      <c r="R180" s="21"/>
      <c r="T180" s="121"/>
      <c r="U180" s="27" t="s">
        <v>37</v>
      </c>
      <c r="V180" s="122">
        <v>18.175</v>
      </c>
      <c r="W180" s="122">
        <f>$V$180*$K$180</f>
        <v>0.7270000000000001</v>
      </c>
      <c r="X180" s="122">
        <v>0.01954</v>
      </c>
      <c r="Y180" s="122">
        <f>$X$180*$K$180</f>
        <v>0.0007815999999999999</v>
      </c>
      <c r="Z180" s="122">
        <v>0</v>
      </c>
      <c r="AA180" s="123">
        <f>$Z$180*$K$180</f>
        <v>0</v>
      </c>
      <c r="AR180" s="6" t="s">
        <v>166</v>
      </c>
      <c r="AT180" s="6" t="s">
        <v>162</v>
      </c>
      <c r="AU180" s="6" t="s">
        <v>102</v>
      </c>
      <c r="AY180" s="6" t="s">
        <v>161</v>
      </c>
      <c r="BE180" s="76">
        <f>IF($U$180="základní",$N$180,0)</f>
        <v>0</v>
      </c>
      <c r="BF180" s="76">
        <f>IF($U$180="snížená",$N$180,0)</f>
        <v>0</v>
      </c>
      <c r="BG180" s="76">
        <f>IF($U$180="zákl. přenesená",$N$180,0)</f>
        <v>0</v>
      </c>
      <c r="BH180" s="76">
        <f>IF($U$180="sníž. přenesená",$N$180,0)</f>
        <v>0</v>
      </c>
      <c r="BI180" s="76">
        <f>IF($U$180="nulová",$N$180,0)</f>
        <v>0</v>
      </c>
      <c r="BJ180" s="6" t="s">
        <v>16</v>
      </c>
      <c r="BK180" s="76">
        <f>ROUND($L$180*$K$180,2)</f>
        <v>0</v>
      </c>
    </row>
    <row r="181" spans="2:51" s="6" customFormat="1" ht="15.75" customHeight="1">
      <c r="B181" s="124"/>
      <c r="E181" s="125"/>
      <c r="F181" s="211" t="s">
        <v>219</v>
      </c>
      <c r="G181" s="212"/>
      <c r="H181" s="212"/>
      <c r="I181" s="212"/>
      <c r="K181" s="125"/>
      <c r="N181" s="125"/>
      <c r="R181" s="126"/>
      <c r="T181" s="127"/>
      <c r="AA181" s="128"/>
      <c r="AT181" s="125" t="s">
        <v>168</v>
      </c>
      <c r="AU181" s="125" t="s">
        <v>102</v>
      </c>
      <c r="AV181" s="125" t="s">
        <v>16</v>
      </c>
      <c r="AW181" s="125" t="s">
        <v>112</v>
      </c>
      <c r="AX181" s="125" t="s">
        <v>72</v>
      </c>
      <c r="AY181" s="125" t="s">
        <v>161</v>
      </c>
    </row>
    <row r="182" spans="2:51" s="6" customFormat="1" ht="15.75" customHeight="1">
      <c r="B182" s="129"/>
      <c r="E182" s="130"/>
      <c r="F182" s="213" t="s">
        <v>225</v>
      </c>
      <c r="G182" s="214"/>
      <c r="H182" s="214"/>
      <c r="I182" s="214"/>
      <c r="K182" s="131">
        <v>0.04</v>
      </c>
      <c r="N182" s="130"/>
      <c r="R182" s="132"/>
      <c r="T182" s="133"/>
      <c r="AA182" s="134"/>
      <c r="AT182" s="130" t="s">
        <v>168</v>
      </c>
      <c r="AU182" s="130" t="s">
        <v>102</v>
      </c>
      <c r="AV182" s="130" t="s">
        <v>102</v>
      </c>
      <c r="AW182" s="130" t="s">
        <v>112</v>
      </c>
      <c r="AX182" s="130" t="s">
        <v>72</v>
      </c>
      <c r="AY182" s="130" t="s">
        <v>161</v>
      </c>
    </row>
    <row r="183" spans="2:51" s="6" customFormat="1" ht="15.75" customHeight="1">
      <c r="B183" s="135"/>
      <c r="E183" s="136"/>
      <c r="F183" s="215" t="s">
        <v>171</v>
      </c>
      <c r="G183" s="216"/>
      <c r="H183" s="216"/>
      <c r="I183" s="216"/>
      <c r="K183" s="137">
        <v>0.04</v>
      </c>
      <c r="N183" s="136"/>
      <c r="R183" s="138"/>
      <c r="T183" s="139"/>
      <c r="AA183" s="140"/>
      <c r="AT183" s="136" t="s">
        <v>168</v>
      </c>
      <c r="AU183" s="136" t="s">
        <v>102</v>
      </c>
      <c r="AV183" s="136" t="s">
        <v>166</v>
      </c>
      <c r="AW183" s="136" t="s">
        <v>112</v>
      </c>
      <c r="AX183" s="136" t="s">
        <v>16</v>
      </c>
      <c r="AY183" s="136" t="s">
        <v>161</v>
      </c>
    </row>
    <row r="184" spans="2:63" s="6" customFormat="1" ht="27" customHeight="1">
      <c r="B184" s="20"/>
      <c r="C184" s="141" t="s">
        <v>226</v>
      </c>
      <c r="D184" s="141" t="s">
        <v>227</v>
      </c>
      <c r="E184" s="142" t="s">
        <v>228</v>
      </c>
      <c r="F184" s="217" t="s">
        <v>229</v>
      </c>
      <c r="G184" s="218"/>
      <c r="H184" s="218"/>
      <c r="I184" s="218"/>
      <c r="J184" s="143" t="s">
        <v>224</v>
      </c>
      <c r="K184" s="144">
        <v>0.043</v>
      </c>
      <c r="L184" s="219">
        <v>0</v>
      </c>
      <c r="M184" s="218"/>
      <c r="N184" s="220">
        <f>ROUND($L$184*$K$184,2)</f>
        <v>0</v>
      </c>
      <c r="O184" s="205"/>
      <c r="P184" s="205"/>
      <c r="Q184" s="205"/>
      <c r="R184" s="21"/>
      <c r="T184" s="121"/>
      <c r="U184" s="27" t="s">
        <v>37</v>
      </c>
      <c r="V184" s="122">
        <v>0</v>
      </c>
      <c r="W184" s="122">
        <f>$V$184*$K$184</f>
        <v>0</v>
      </c>
      <c r="X184" s="122">
        <v>1</v>
      </c>
      <c r="Y184" s="122">
        <f>$X$184*$K$184</f>
        <v>0.043</v>
      </c>
      <c r="Z184" s="122">
        <v>0</v>
      </c>
      <c r="AA184" s="123">
        <f>$Z$184*$K$184</f>
        <v>0</v>
      </c>
      <c r="AR184" s="6" t="s">
        <v>190</v>
      </c>
      <c r="AT184" s="6" t="s">
        <v>227</v>
      </c>
      <c r="AU184" s="6" t="s">
        <v>102</v>
      </c>
      <c r="AY184" s="6" t="s">
        <v>161</v>
      </c>
      <c r="BE184" s="76">
        <f>IF($U$184="základní",$N$184,0)</f>
        <v>0</v>
      </c>
      <c r="BF184" s="76">
        <f>IF($U$184="snížená",$N$184,0)</f>
        <v>0</v>
      </c>
      <c r="BG184" s="76">
        <f>IF($U$184="zákl. přenesená",$N$184,0)</f>
        <v>0</v>
      </c>
      <c r="BH184" s="76">
        <f>IF($U$184="sníž. přenesená",$N$184,0)</f>
        <v>0</v>
      </c>
      <c r="BI184" s="76">
        <f>IF($U$184="nulová",$N$184,0)</f>
        <v>0</v>
      </c>
      <c r="BJ184" s="6" t="s">
        <v>16</v>
      </c>
      <c r="BK184" s="76">
        <f>ROUND($L$184*$K$184,2)</f>
        <v>0</v>
      </c>
    </row>
    <row r="185" spans="2:47" s="6" customFormat="1" ht="15.75" customHeight="1">
      <c r="B185" s="20"/>
      <c r="F185" s="221" t="s">
        <v>230</v>
      </c>
      <c r="G185" s="160"/>
      <c r="H185" s="160"/>
      <c r="I185" s="160"/>
      <c r="R185" s="21"/>
      <c r="T185" s="51"/>
      <c r="AA185" s="52"/>
      <c r="AT185" s="6" t="s">
        <v>231</v>
      </c>
      <c r="AU185" s="6" t="s">
        <v>102</v>
      </c>
    </row>
    <row r="186" spans="2:63" s="6" customFormat="1" ht="27" customHeight="1">
      <c r="B186" s="20"/>
      <c r="C186" s="117" t="s">
        <v>232</v>
      </c>
      <c r="D186" s="117" t="s">
        <v>162</v>
      </c>
      <c r="E186" s="118" t="s">
        <v>233</v>
      </c>
      <c r="F186" s="204" t="s">
        <v>234</v>
      </c>
      <c r="G186" s="205"/>
      <c r="H186" s="205"/>
      <c r="I186" s="205"/>
      <c r="J186" s="119" t="s">
        <v>174</v>
      </c>
      <c r="K186" s="120">
        <v>10.833</v>
      </c>
      <c r="L186" s="206">
        <v>0</v>
      </c>
      <c r="M186" s="205"/>
      <c r="N186" s="207">
        <f>ROUND($L$186*$K$186,2)</f>
        <v>0</v>
      </c>
      <c r="O186" s="205"/>
      <c r="P186" s="205"/>
      <c r="Q186" s="205"/>
      <c r="R186" s="21"/>
      <c r="T186" s="121"/>
      <c r="U186" s="27" t="s">
        <v>37</v>
      </c>
      <c r="V186" s="122">
        <v>0.227</v>
      </c>
      <c r="W186" s="122">
        <f>$V$186*$K$186</f>
        <v>2.459091</v>
      </c>
      <c r="X186" s="122">
        <v>0.01244</v>
      </c>
      <c r="Y186" s="122">
        <f>$X$186*$K$186</f>
        <v>0.13476252</v>
      </c>
      <c r="Z186" s="122">
        <v>0</v>
      </c>
      <c r="AA186" s="123">
        <f>$Z$186*$K$186</f>
        <v>0</v>
      </c>
      <c r="AR186" s="6" t="s">
        <v>166</v>
      </c>
      <c r="AT186" s="6" t="s">
        <v>162</v>
      </c>
      <c r="AU186" s="6" t="s">
        <v>102</v>
      </c>
      <c r="AY186" s="6" t="s">
        <v>161</v>
      </c>
      <c r="BE186" s="76">
        <f>IF($U$186="základní",$N$186,0)</f>
        <v>0</v>
      </c>
      <c r="BF186" s="76">
        <f>IF($U$186="snížená",$N$186,0)</f>
        <v>0</v>
      </c>
      <c r="BG186" s="76">
        <f>IF($U$186="zákl. přenesená",$N$186,0)</f>
        <v>0</v>
      </c>
      <c r="BH186" s="76">
        <f>IF($U$186="sníž. přenesená",$N$186,0)</f>
        <v>0</v>
      </c>
      <c r="BI186" s="76">
        <f>IF($U$186="nulová",$N$186,0)</f>
        <v>0</v>
      </c>
      <c r="BJ186" s="6" t="s">
        <v>16</v>
      </c>
      <c r="BK186" s="76">
        <f>ROUND($L$186*$K$186,2)</f>
        <v>0</v>
      </c>
    </row>
    <row r="187" spans="2:51" s="6" customFormat="1" ht="15.75" customHeight="1">
      <c r="B187" s="124"/>
      <c r="E187" s="125"/>
      <c r="F187" s="211" t="s">
        <v>235</v>
      </c>
      <c r="G187" s="212"/>
      <c r="H187" s="212"/>
      <c r="I187" s="212"/>
      <c r="K187" s="125"/>
      <c r="N187" s="125"/>
      <c r="R187" s="126"/>
      <c r="T187" s="127"/>
      <c r="AA187" s="128"/>
      <c r="AT187" s="125" t="s">
        <v>168</v>
      </c>
      <c r="AU187" s="125" t="s">
        <v>102</v>
      </c>
      <c r="AV187" s="125" t="s">
        <v>16</v>
      </c>
      <c r="AW187" s="125" t="s">
        <v>112</v>
      </c>
      <c r="AX187" s="125" t="s">
        <v>72</v>
      </c>
      <c r="AY187" s="125" t="s">
        <v>161</v>
      </c>
    </row>
    <row r="188" spans="2:51" s="6" customFormat="1" ht="15.75" customHeight="1">
      <c r="B188" s="129"/>
      <c r="E188" s="130"/>
      <c r="F188" s="213" t="s">
        <v>236</v>
      </c>
      <c r="G188" s="214"/>
      <c r="H188" s="214"/>
      <c r="I188" s="214"/>
      <c r="K188" s="131">
        <v>10.833</v>
      </c>
      <c r="N188" s="130"/>
      <c r="R188" s="132"/>
      <c r="T188" s="133"/>
      <c r="AA188" s="134"/>
      <c r="AT188" s="130" t="s">
        <v>168</v>
      </c>
      <c r="AU188" s="130" t="s">
        <v>102</v>
      </c>
      <c r="AV188" s="130" t="s">
        <v>102</v>
      </c>
      <c r="AW188" s="130" t="s">
        <v>112</v>
      </c>
      <c r="AX188" s="130" t="s">
        <v>72</v>
      </c>
      <c r="AY188" s="130" t="s">
        <v>161</v>
      </c>
    </row>
    <row r="189" spans="2:51" s="6" customFormat="1" ht="15.75" customHeight="1">
      <c r="B189" s="135"/>
      <c r="E189" s="136"/>
      <c r="F189" s="215" t="s">
        <v>171</v>
      </c>
      <c r="G189" s="216"/>
      <c r="H189" s="216"/>
      <c r="I189" s="216"/>
      <c r="K189" s="137">
        <v>10.833</v>
      </c>
      <c r="N189" s="136"/>
      <c r="R189" s="138"/>
      <c r="T189" s="139"/>
      <c r="AA189" s="140"/>
      <c r="AT189" s="136" t="s">
        <v>168</v>
      </c>
      <c r="AU189" s="136" t="s">
        <v>102</v>
      </c>
      <c r="AV189" s="136" t="s">
        <v>166</v>
      </c>
      <c r="AW189" s="136" t="s">
        <v>112</v>
      </c>
      <c r="AX189" s="136" t="s">
        <v>16</v>
      </c>
      <c r="AY189" s="136" t="s">
        <v>161</v>
      </c>
    </row>
    <row r="190" spans="2:63" s="6" customFormat="1" ht="15.75" customHeight="1">
      <c r="B190" s="20"/>
      <c r="C190" s="117" t="s">
        <v>237</v>
      </c>
      <c r="D190" s="117" t="s">
        <v>162</v>
      </c>
      <c r="E190" s="118" t="s">
        <v>238</v>
      </c>
      <c r="F190" s="204" t="s">
        <v>239</v>
      </c>
      <c r="G190" s="205"/>
      <c r="H190" s="205"/>
      <c r="I190" s="205"/>
      <c r="J190" s="119" t="s">
        <v>174</v>
      </c>
      <c r="K190" s="120">
        <v>16.904</v>
      </c>
      <c r="L190" s="206">
        <v>0</v>
      </c>
      <c r="M190" s="205"/>
      <c r="N190" s="207">
        <f>ROUND($L$190*$K$190,2)</f>
        <v>0</v>
      </c>
      <c r="O190" s="205"/>
      <c r="P190" s="205"/>
      <c r="Q190" s="205"/>
      <c r="R190" s="21"/>
      <c r="T190" s="121"/>
      <c r="U190" s="27" t="s">
        <v>37</v>
      </c>
      <c r="V190" s="122">
        <v>0.572</v>
      </c>
      <c r="W190" s="122">
        <f>$V$190*$K$190</f>
        <v>9.669087999999999</v>
      </c>
      <c r="X190" s="122">
        <v>0.09232</v>
      </c>
      <c r="Y190" s="122">
        <f>$X$190*$K$190</f>
        <v>1.56057728</v>
      </c>
      <c r="Z190" s="122">
        <v>0</v>
      </c>
      <c r="AA190" s="123">
        <f>$Z$190*$K$190</f>
        <v>0</v>
      </c>
      <c r="AR190" s="6" t="s">
        <v>166</v>
      </c>
      <c r="AT190" s="6" t="s">
        <v>162</v>
      </c>
      <c r="AU190" s="6" t="s">
        <v>102</v>
      </c>
      <c r="AY190" s="6" t="s">
        <v>161</v>
      </c>
      <c r="BE190" s="76">
        <f>IF($U$190="základní",$N$190,0)</f>
        <v>0</v>
      </c>
      <c r="BF190" s="76">
        <f>IF($U$190="snížená",$N$190,0)</f>
        <v>0</v>
      </c>
      <c r="BG190" s="76">
        <f>IF($U$190="zákl. přenesená",$N$190,0)</f>
        <v>0</v>
      </c>
      <c r="BH190" s="76">
        <f>IF($U$190="sníž. přenesená",$N$190,0)</f>
        <v>0</v>
      </c>
      <c r="BI190" s="76">
        <f>IF($U$190="nulová",$N$190,0)</f>
        <v>0</v>
      </c>
      <c r="BJ190" s="6" t="s">
        <v>16</v>
      </c>
      <c r="BK190" s="76">
        <f>ROUND($L$190*$K$190,2)</f>
        <v>0</v>
      </c>
    </row>
    <row r="191" spans="2:51" s="6" customFormat="1" ht="15.75" customHeight="1">
      <c r="B191" s="129"/>
      <c r="E191" s="130"/>
      <c r="F191" s="213" t="s">
        <v>240</v>
      </c>
      <c r="G191" s="214"/>
      <c r="H191" s="214"/>
      <c r="I191" s="214"/>
      <c r="K191" s="131">
        <v>3.495</v>
      </c>
      <c r="N191" s="130"/>
      <c r="R191" s="132"/>
      <c r="T191" s="133"/>
      <c r="AA191" s="134"/>
      <c r="AT191" s="130" t="s">
        <v>168</v>
      </c>
      <c r="AU191" s="130" t="s">
        <v>102</v>
      </c>
      <c r="AV191" s="130" t="s">
        <v>102</v>
      </c>
      <c r="AW191" s="130" t="s">
        <v>112</v>
      </c>
      <c r="AX191" s="130" t="s">
        <v>72</v>
      </c>
      <c r="AY191" s="130" t="s">
        <v>161</v>
      </c>
    </row>
    <row r="192" spans="2:51" s="6" customFormat="1" ht="15.75" customHeight="1">
      <c r="B192" s="129"/>
      <c r="E192" s="130"/>
      <c r="F192" s="213" t="s">
        <v>236</v>
      </c>
      <c r="G192" s="214"/>
      <c r="H192" s="214"/>
      <c r="I192" s="214"/>
      <c r="K192" s="131">
        <v>10.833</v>
      </c>
      <c r="N192" s="130"/>
      <c r="R192" s="132"/>
      <c r="T192" s="133"/>
      <c r="AA192" s="134"/>
      <c r="AT192" s="130" t="s">
        <v>168</v>
      </c>
      <c r="AU192" s="130" t="s">
        <v>102</v>
      </c>
      <c r="AV192" s="130" t="s">
        <v>102</v>
      </c>
      <c r="AW192" s="130" t="s">
        <v>112</v>
      </c>
      <c r="AX192" s="130" t="s">
        <v>72</v>
      </c>
      <c r="AY192" s="130" t="s">
        <v>161</v>
      </c>
    </row>
    <row r="193" spans="2:51" s="6" customFormat="1" ht="15.75" customHeight="1">
      <c r="B193" s="129"/>
      <c r="E193" s="130"/>
      <c r="F193" s="213" t="s">
        <v>241</v>
      </c>
      <c r="G193" s="214"/>
      <c r="H193" s="214"/>
      <c r="I193" s="214"/>
      <c r="K193" s="131">
        <v>2.576</v>
      </c>
      <c r="N193" s="130"/>
      <c r="R193" s="132"/>
      <c r="T193" s="133"/>
      <c r="AA193" s="134"/>
      <c r="AT193" s="130" t="s">
        <v>168</v>
      </c>
      <c r="AU193" s="130" t="s">
        <v>102</v>
      </c>
      <c r="AV193" s="130" t="s">
        <v>102</v>
      </c>
      <c r="AW193" s="130" t="s">
        <v>112</v>
      </c>
      <c r="AX193" s="130" t="s">
        <v>72</v>
      </c>
      <c r="AY193" s="130" t="s">
        <v>161</v>
      </c>
    </row>
    <row r="194" spans="2:51" s="6" customFormat="1" ht="15.75" customHeight="1">
      <c r="B194" s="135"/>
      <c r="E194" s="136"/>
      <c r="F194" s="215" t="s">
        <v>171</v>
      </c>
      <c r="G194" s="216"/>
      <c r="H194" s="216"/>
      <c r="I194" s="216"/>
      <c r="K194" s="137">
        <v>16.904</v>
      </c>
      <c r="N194" s="136"/>
      <c r="R194" s="138"/>
      <c r="T194" s="139"/>
      <c r="AA194" s="140"/>
      <c r="AT194" s="136" t="s">
        <v>168</v>
      </c>
      <c r="AU194" s="136" t="s">
        <v>102</v>
      </c>
      <c r="AV194" s="136" t="s">
        <v>166</v>
      </c>
      <c r="AW194" s="136" t="s">
        <v>112</v>
      </c>
      <c r="AX194" s="136" t="s">
        <v>16</v>
      </c>
      <c r="AY194" s="136" t="s">
        <v>161</v>
      </c>
    </row>
    <row r="195" spans="2:63" s="6" customFormat="1" ht="27" customHeight="1">
      <c r="B195" s="20"/>
      <c r="C195" s="117" t="s">
        <v>242</v>
      </c>
      <c r="D195" s="117" t="s">
        <v>162</v>
      </c>
      <c r="E195" s="118" t="s">
        <v>243</v>
      </c>
      <c r="F195" s="204" t="s">
        <v>244</v>
      </c>
      <c r="G195" s="205"/>
      <c r="H195" s="205"/>
      <c r="I195" s="205"/>
      <c r="J195" s="119" t="s">
        <v>245</v>
      </c>
      <c r="K195" s="120">
        <v>4.509</v>
      </c>
      <c r="L195" s="206">
        <v>0</v>
      </c>
      <c r="M195" s="205"/>
      <c r="N195" s="207">
        <f>ROUND($L$195*$K$195,2)</f>
        <v>0</v>
      </c>
      <c r="O195" s="205"/>
      <c r="P195" s="205"/>
      <c r="Q195" s="205"/>
      <c r="R195" s="21"/>
      <c r="T195" s="121"/>
      <c r="U195" s="27" t="s">
        <v>37</v>
      </c>
      <c r="V195" s="122">
        <v>0.095</v>
      </c>
      <c r="W195" s="122">
        <f>$V$195*$K$195</f>
        <v>0.42835500000000004</v>
      </c>
      <c r="X195" s="122">
        <v>0.00803</v>
      </c>
      <c r="Y195" s="122">
        <f>$X$195*$K$195</f>
        <v>0.03620727000000001</v>
      </c>
      <c r="Z195" s="122">
        <v>0</v>
      </c>
      <c r="AA195" s="123">
        <f>$Z$195*$K$195</f>
        <v>0</v>
      </c>
      <c r="AR195" s="6" t="s">
        <v>166</v>
      </c>
      <c r="AT195" s="6" t="s">
        <v>162</v>
      </c>
      <c r="AU195" s="6" t="s">
        <v>102</v>
      </c>
      <c r="AY195" s="6" t="s">
        <v>161</v>
      </c>
      <c r="BE195" s="76">
        <f>IF($U$195="základní",$N$195,0)</f>
        <v>0</v>
      </c>
      <c r="BF195" s="76">
        <f>IF($U$195="snížená",$N$195,0)</f>
        <v>0</v>
      </c>
      <c r="BG195" s="76">
        <f>IF($U$195="zákl. přenesená",$N$195,0)</f>
        <v>0</v>
      </c>
      <c r="BH195" s="76">
        <f>IF($U$195="sníž. přenesená",$N$195,0)</f>
        <v>0</v>
      </c>
      <c r="BI195" s="76">
        <f>IF($U$195="nulová",$N$195,0)</f>
        <v>0</v>
      </c>
      <c r="BJ195" s="6" t="s">
        <v>16</v>
      </c>
      <c r="BK195" s="76">
        <f>ROUND($L$195*$K$195,2)</f>
        <v>0</v>
      </c>
    </row>
    <row r="196" spans="2:51" s="6" customFormat="1" ht="15.75" customHeight="1">
      <c r="B196" s="124"/>
      <c r="E196" s="125"/>
      <c r="F196" s="211" t="s">
        <v>219</v>
      </c>
      <c r="G196" s="212"/>
      <c r="H196" s="212"/>
      <c r="I196" s="212"/>
      <c r="K196" s="125"/>
      <c r="N196" s="125"/>
      <c r="R196" s="126"/>
      <c r="T196" s="127"/>
      <c r="AA196" s="128"/>
      <c r="AT196" s="125" t="s">
        <v>168</v>
      </c>
      <c r="AU196" s="125" t="s">
        <v>102</v>
      </c>
      <c r="AV196" s="125" t="s">
        <v>16</v>
      </c>
      <c r="AW196" s="125" t="s">
        <v>112</v>
      </c>
      <c r="AX196" s="125" t="s">
        <v>72</v>
      </c>
      <c r="AY196" s="125" t="s">
        <v>161</v>
      </c>
    </row>
    <row r="197" spans="2:51" s="6" customFormat="1" ht="15.75" customHeight="1">
      <c r="B197" s="129"/>
      <c r="E197" s="130"/>
      <c r="F197" s="213" t="s">
        <v>246</v>
      </c>
      <c r="G197" s="214"/>
      <c r="H197" s="214"/>
      <c r="I197" s="214"/>
      <c r="K197" s="131">
        <v>4.509</v>
      </c>
      <c r="N197" s="130"/>
      <c r="R197" s="132"/>
      <c r="T197" s="133"/>
      <c r="AA197" s="134"/>
      <c r="AT197" s="130" t="s">
        <v>168</v>
      </c>
      <c r="AU197" s="130" t="s">
        <v>102</v>
      </c>
      <c r="AV197" s="130" t="s">
        <v>102</v>
      </c>
      <c r="AW197" s="130" t="s">
        <v>112</v>
      </c>
      <c r="AX197" s="130" t="s">
        <v>72</v>
      </c>
      <c r="AY197" s="130" t="s">
        <v>161</v>
      </c>
    </row>
    <row r="198" spans="2:51" s="6" customFormat="1" ht="15.75" customHeight="1">
      <c r="B198" s="135"/>
      <c r="E198" s="136"/>
      <c r="F198" s="215" t="s">
        <v>171</v>
      </c>
      <c r="G198" s="216"/>
      <c r="H198" s="216"/>
      <c r="I198" s="216"/>
      <c r="K198" s="137">
        <v>4.509</v>
      </c>
      <c r="N198" s="136"/>
      <c r="R198" s="138"/>
      <c r="T198" s="139"/>
      <c r="AA198" s="140"/>
      <c r="AT198" s="136" t="s">
        <v>168</v>
      </c>
      <c r="AU198" s="136" t="s">
        <v>102</v>
      </c>
      <c r="AV198" s="136" t="s">
        <v>166</v>
      </c>
      <c r="AW198" s="136" t="s">
        <v>112</v>
      </c>
      <c r="AX198" s="136" t="s">
        <v>16</v>
      </c>
      <c r="AY198" s="136" t="s">
        <v>161</v>
      </c>
    </row>
    <row r="199" spans="2:63" s="107" customFormat="1" ht="30.75" customHeight="1">
      <c r="B199" s="108"/>
      <c r="D199" s="116" t="s">
        <v>117</v>
      </c>
      <c r="N199" s="222">
        <f>$BK$199</f>
        <v>0</v>
      </c>
      <c r="O199" s="210"/>
      <c r="P199" s="210"/>
      <c r="Q199" s="210"/>
      <c r="R199" s="111"/>
      <c r="T199" s="112"/>
      <c r="W199" s="113">
        <f>SUM($W$200:$W$213)</f>
        <v>9.459854</v>
      </c>
      <c r="Y199" s="113">
        <f>SUM($Y$200:$Y$213)</f>
        <v>1.32277599</v>
      </c>
      <c r="AA199" s="114">
        <f>SUM($AA$200:$AA$213)</f>
        <v>0</v>
      </c>
      <c r="AR199" s="110" t="s">
        <v>16</v>
      </c>
      <c r="AT199" s="110" t="s">
        <v>71</v>
      </c>
      <c r="AU199" s="110" t="s">
        <v>16</v>
      </c>
      <c r="AY199" s="110" t="s">
        <v>161</v>
      </c>
      <c r="BK199" s="115">
        <f>SUM($BK$200:$BK$213)</f>
        <v>0</v>
      </c>
    </row>
    <row r="200" spans="2:63" s="6" customFormat="1" ht="27" customHeight="1">
      <c r="B200" s="20"/>
      <c r="C200" s="117" t="s">
        <v>7</v>
      </c>
      <c r="D200" s="117" t="s">
        <v>162</v>
      </c>
      <c r="E200" s="118" t="s">
        <v>247</v>
      </c>
      <c r="F200" s="204" t="s">
        <v>248</v>
      </c>
      <c r="G200" s="205"/>
      <c r="H200" s="205"/>
      <c r="I200" s="205"/>
      <c r="J200" s="119" t="s">
        <v>249</v>
      </c>
      <c r="K200" s="120">
        <v>5</v>
      </c>
      <c r="L200" s="206">
        <v>0</v>
      </c>
      <c r="M200" s="205"/>
      <c r="N200" s="207">
        <f>ROUND($L$200*$K$200,2)</f>
        <v>0</v>
      </c>
      <c r="O200" s="205"/>
      <c r="P200" s="205"/>
      <c r="Q200" s="205"/>
      <c r="R200" s="21"/>
      <c r="T200" s="121"/>
      <c r="U200" s="27" t="s">
        <v>37</v>
      </c>
      <c r="V200" s="122">
        <v>1.392</v>
      </c>
      <c r="W200" s="122">
        <f>$V$200*$K$200</f>
        <v>6.959999999999999</v>
      </c>
      <c r="X200" s="122">
        <v>0.03251</v>
      </c>
      <c r="Y200" s="122">
        <f>$X$200*$K$200</f>
        <v>0.16254999999999997</v>
      </c>
      <c r="Z200" s="122">
        <v>0</v>
      </c>
      <c r="AA200" s="123">
        <f>$Z$200*$K$200</f>
        <v>0</v>
      </c>
      <c r="AR200" s="6" t="s">
        <v>166</v>
      </c>
      <c r="AT200" s="6" t="s">
        <v>162</v>
      </c>
      <c r="AU200" s="6" t="s">
        <v>102</v>
      </c>
      <c r="AY200" s="6" t="s">
        <v>161</v>
      </c>
      <c r="BE200" s="76">
        <f>IF($U$200="základní",$N$200,0)</f>
        <v>0</v>
      </c>
      <c r="BF200" s="76">
        <f>IF($U$200="snížená",$N$200,0)</f>
        <v>0</v>
      </c>
      <c r="BG200" s="76">
        <f>IF($U$200="zákl. přenesená",$N$200,0)</f>
        <v>0</v>
      </c>
      <c r="BH200" s="76">
        <f>IF($U$200="sníž. přenesená",$N$200,0)</f>
        <v>0</v>
      </c>
      <c r="BI200" s="76">
        <f>IF($U$200="nulová",$N$200,0)</f>
        <v>0</v>
      </c>
      <c r="BJ200" s="6" t="s">
        <v>16</v>
      </c>
      <c r="BK200" s="76">
        <f>ROUND($L$200*$K$200,2)</f>
        <v>0</v>
      </c>
    </row>
    <row r="201" spans="2:51" s="6" customFormat="1" ht="15.75" customHeight="1">
      <c r="B201" s="124"/>
      <c r="E201" s="125"/>
      <c r="F201" s="211" t="s">
        <v>167</v>
      </c>
      <c r="G201" s="212"/>
      <c r="H201" s="212"/>
      <c r="I201" s="212"/>
      <c r="K201" s="125"/>
      <c r="N201" s="125"/>
      <c r="R201" s="126"/>
      <c r="T201" s="127"/>
      <c r="AA201" s="128"/>
      <c r="AT201" s="125" t="s">
        <v>168</v>
      </c>
      <c r="AU201" s="125" t="s">
        <v>102</v>
      </c>
      <c r="AV201" s="125" t="s">
        <v>16</v>
      </c>
      <c r="AW201" s="125" t="s">
        <v>112</v>
      </c>
      <c r="AX201" s="125" t="s">
        <v>72</v>
      </c>
      <c r="AY201" s="125" t="s">
        <v>161</v>
      </c>
    </row>
    <row r="202" spans="2:51" s="6" customFormat="1" ht="15.75" customHeight="1">
      <c r="B202" s="124"/>
      <c r="E202" s="125"/>
      <c r="F202" s="211" t="s">
        <v>250</v>
      </c>
      <c r="G202" s="212"/>
      <c r="H202" s="212"/>
      <c r="I202" s="212"/>
      <c r="K202" s="125"/>
      <c r="N202" s="125"/>
      <c r="R202" s="126"/>
      <c r="T202" s="127"/>
      <c r="AA202" s="128"/>
      <c r="AT202" s="125" t="s">
        <v>168</v>
      </c>
      <c r="AU202" s="125" t="s">
        <v>102</v>
      </c>
      <c r="AV202" s="125" t="s">
        <v>16</v>
      </c>
      <c r="AW202" s="125" t="s">
        <v>112</v>
      </c>
      <c r="AX202" s="125" t="s">
        <v>72</v>
      </c>
      <c r="AY202" s="125" t="s">
        <v>161</v>
      </c>
    </row>
    <row r="203" spans="2:51" s="6" customFormat="1" ht="15.75" customHeight="1">
      <c r="B203" s="129"/>
      <c r="E203" s="130"/>
      <c r="F203" s="213" t="s">
        <v>181</v>
      </c>
      <c r="G203" s="214"/>
      <c r="H203" s="214"/>
      <c r="I203" s="214"/>
      <c r="K203" s="131">
        <v>5</v>
      </c>
      <c r="N203" s="130"/>
      <c r="R203" s="132"/>
      <c r="T203" s="133"/>
      <c r="AA203" s="134"/>
      <c r="AT203" s="130" t="s">
        <v>168</v>
      </c>
      <c r="AU203" s="130" t="s">
        <v>102</v>
      </c>
      <c r="AV203" s="130" t="s">
        <v>102</v>
      </c>
      <c r="AW203" s="130" t="s">
        <v>112</v>
      </c>
      <c r="AX203" s="130" t="s">
        <v>16</v>
      </c>
      <c r="AY203" s="130" t="s">
        <v>161</v>
      </c>
    </row>
    <row r="204" spans="2:63" s="6" customFormat="1" ht="15.75" customHeight="1">
      <c r="B204" s="20"/>
      <c r="C204" s="141" t="s">
        <v>251</v>
      </c>
      <c r="D204" s="141" t="s">
        <v>227</v>
      </c>
      <c r="E204" s="142" t="s">
        <v>252</v>
      </c>
      <c r="F204" s="217" t="s">
        <v>253</v>
      </c>
      <c r="G204" s="218"/>
      <c r="H204" s="218"/>
      <c r="I204" s="218"/>
      <c r="J204" s="143" t="s">
        <v>249</v>
      </c>
      <c r="K204" s="144">
        <v>5.05</v>
      </c>
      <c r="L204" s="219">
        <v>0</v>
      </c>
      <c r="M204" s="218"/>
      <c r="N204" s="220">
        <f>ROUND($L$204*$K$204,2)</f>
        <v>0</v>
      </c>
      <c r="O204" s="205"/>
      <c r="P204" s="205"/>
      <c r="Q204" s="205"/>
      <c r="R204" s="21"/>
      <c r="T204" s="121"/>
      <c r="U204" s="27" t="s">
        <v>37</v>
      </c>
      <c r="V204" s="122">
        <v>0</v>
      </c>
      <c r="W204" s="122">
        <f>$V$204*$K$204</f>
        <v>0</v>
      </c>
      <c r="X204" s="122">
        <v>0.118</v>
      </c>
      <c r="Y204" s="122">
        <f>$X$204*$K$204</f>
        <v>0.5959</v>
      </c>
      <c r="Z204" s="122">
        <v>0</v>
      </c>
      <c r="AA204" s="123">
        <f>$Z$204*$K$204</f>
        <v>0</v>
      </c>
      <c r="AR204" s="6" t="s">
        <v>190</v>
      </c>
      <c r="AT204" s="6" t="s">
        <v>227</v>
      </c>
      <c r="AU204" s="6" t="s">
        <v>102</v>
      </c>
      <c r="AY204" s="6" t="s">
        <v>161</v>
      </c>
      <c r="BE204" s="76">
        <f>IF($U$204="základní",$N$204,0)</f>
        <v>0</v>
      </c>
      <c r="BF204" s="76">
        <f>IF($U$204="snížená",$N$204,0)</f>
        <v>0</v>
      </c>
      <c r="BG204" s="76">
        <f>IF($U$204="zákl. přenesená",$N$204,0)</f>
        <v>0</v>
      </c>
      <c r="BH204" s="76">
        <f>IF($U$204="sníž. přenesená",$N$204,0)</f>
        <v>0</v>
      </c>
      <c r="BI204" s="76">
        <f>IF($U$204="nulová",$N$204,0)</f>
        <v>0</v>
      </c>
      <c r="BJ204" s="6" t="s">
        <v>16</v>
      </c>
      <c r="BK204" s="76">
        <f>ROUND($L$204*$K$204,2)</f>
        <v>0</v>
      </c>
    </row>
    <row r="205" spans="2:63" s="6" customFormat="1" ht="15.75" customHeight="1">
      <c r="B205" s="20"/>
      <c r="C205" s="117" t="s">
        <v>254</v>
      </c>
      <c r="D205" s="117" t="s">
        <v>162</v>
      </c>
      <c r="E205" s="118" t="s">
        <v>255</v>
      </c>
      <c r="F205" s="204" t="s">
        <v>256</v>
      </c>
      <c r="G205" s="205"/>
      <c r="H205" s="205"/>
      <c r="I205" s="205"/>
      <c r="J205" s="119" t="s">
        <v>165</v>
      </c>
      <c r="K205" s="120">
        <v>0.241</v>
      </c>
      <c r="L205" s="206">
        <v>0</v>
      </c>
      <c r="M205" s="205"/>
      <c r="N205" s="207">
        <f>ROUND($L$205*$K$205,2)</f>
        <v>0</v>
      </c>
      <c r="O205" s="205"/>
      <c r="P205" s="205"/>
      <c r="Q205" s="205"/>
      <c r="R205" s="21"/>
      <c r="T205" s="121"/>
      <c r="U205" s="27" t="s">
        <v>37</v>
      </c>
      <c r="V205" s="122">
        <v>1.448</v>
      </c>
      <c r="W205" s="122">
        <f>$V$205*$K$205</f>
        <v>0.348968</v>
      </c>
      <c r="X205" s="122">
        <v>2.25645</v>
      </c>
      <c r="Y205" s="122">
        <f>$X$205*$K$205</f>
        <v>0.54380445</v>
      </c>
      <c r="Z205" s="122">
        <v>0</v>
      </c>
      <c r="AA205" s="123">
        <f>$Z$205*$K$205</f>
        <v>0</v>
      </c>
      <c r="AR205" s="6" t="s">
        <v>166</v>
      </c>
      <c r="AT205" s="6" t="s">
        <v>162</v>
      </c>
      <c r="AU205" s="6" t="s">
        <v>102</v>
      </c>
      <c r="AY205" s="6" t="s">
        <v>161</v>
      </c>
      <c r="BE205" s="76">
        <f>IF($U$205="základní",$N$205,0)</f>
        <v>0</v>
      </c>
      <c r="BF205" s="76">
        <f>IF($U$205="snížená",$N$205,0)</f>
        <v>0</v>
      </c>
      <c r="BG205" s="76">
        <f>IF($U$205="zákl. přenesená",$N$205,0)</f>
        <v>0</v>
      </c>
      <c r="BH205" s="76">
        <f>IF($U$205="sníž. přenesená",$N$205,0)</f>
        <v>0</v>
      </c>
      <c r="BI205" s="76">
        <f>IF($U$205="nulová",$N$205,0)</f>
        <v>0</v>
      </c>
      <c r="BJ205" s="6" t="s">
        <v>16</v>
      </c>
      <c r="BK205" s="76">
        <f>ROUND($L$205*$K$205,2)</f>
        <v>0</v>
      </c>
    </row>
    <row r="206" spans="2:51" s="6" customFormat="1" ht="15.75" customHeight="1">
      <c r="B206" s="124"/>
      <c r="E206" s="125"/>
      <c r="F206" s="211" t="s">
        <v>167</v>
      </c>
      <c r="G206" s="212"/>
      <c r="H206" s="212"/>
      <c r="I206" s="212"/>
      <c r="K206" s="125"/>
      <c r="N206" s="125"/>
      <c r="R206" s="126"/>
      <c r="T206" s="127"/>
      <c r="AA206" s="128"/>
      <c r="AT206" s="125" t="s">
        <v>168</v>
      </c>
      <c r="AU206" s="125" t="s">
        <v>102</v>
      </c>
      <c r="AV206" s="125" t="s">
        <v>16</v>
      </c>
      <c r="AW206" s="125" t="s">
        <v>112</v>
      </c>
      <c r="AX206" s="125" t="s">
        <v>72</v>
      </c>
      <c r="AY206" s="125" t="s">
        <v>161</v>
      </c>
    </row>
    <row r="207" spans="2:51" s="6" customFormat="1" ht="15.75" customHeight="1">
      <c r="B207" s="129"/>
      <c r="E207" s="130"/>
      <c r="F207" s="213" t="s">
        <v>257</v>
      </c>
      <c r="G207" s="214"/>
      <c r="H207" s="214"/>
      <c r="I207" s="214"/>
      <c r="K207" s="131">
        <v>0.241</v>
      </c>
      <c r="N207" s="130"/>
      <c r="R207" s="132"/>
      <c r="T207" s="133"/>
      <c r="AA207" s="134"/>
      <c r="AT207" s="130" t="s">
        <v>168</v>
      </c>
      <c r="AU207" s="130" t="s">
        <v>102</v>
      </c>
      <c r="AV207" s="130" t="s">
        <v>102</v>
      </c>
      <c r="AW207" s="130" t="s">
        <v>112</v>
      </c>
      <c r="AX207" s="130" t="s">
        <v>72</v>
      </c>
      <c r="AY207" s="130" t="s">
        <v>161</v>
      </c>
    </row>
    <row r="208" spans="2:51" s="6" customFormat="1" ht="15.75" customHeight="1">
      <c r="B208" s="135"/>
      <c r="E208" s="136"/>
      <c r="F208" s="215" t="s">
        <v>171</v>
      </c>
      <c r="G208" s="216"/>
      <c r="H208" s="216"/>
      <c r="I208" s="216"/>
      <c r="K208" s="137">
        <v>0.241</v>
      </c>
      <c r="N208" s="136"/>
      <c r="R208" s="138"/>
      <c r="T208" s="139"/>
      <c r="AA208" s="140"/>
      <c r="AT208" s="136" t="s">
        <v>168</v>
      </c>
      <c r="AU208" s="136" t="s">
        <v>102</v>
      </c>
      <c r="AV208" s="136" t="s">
        <v>166</v>
      </c>
      <c r="AW208" s="136" t="s">
        <v>112</v>
      </c>
      <c r="AX208" s="136" t="s">
        <v>16</v>
      </c>
      <c r="AY208" s="136" t="s">
        <v>161</v>
      </c>
    </row>
    <row r="209" spans="2:63" s="6" customFormat="1" ht="15.75" customHeight="1">
      <c r="B209" s="20"/>
      <c r="C209" s="117" t="s">
        <v>258</v>
      </c>
      <c r="D209" s="117" t="s">
        <v>162</v>
      </c>
      <c r="E209" s="118" t="s">
        <v>259</v>
      </c>
      <c r="F209" s="204" t="s">
        <v>260</v>
      </c>
      <c r="G209" s="205"/>
      <c r="H209" s="205"/>
      <c r="I209" s="205"/>
      <c r="J209" s="119" t="s">
        <v>174</v>
      </c>
      <c r="K209" s="120">
        <v>1.926</v>
      </c>
      <c r="L209" s="206">
        <v>0</v>
      </c>
      <c r="M209" s="205"/>
      <c r="N209" s="207">
        <f>ROUND($L$209*$K$209,2)</f>
        <v>0</v>
      </c>
      <c r="O209" s="205"/>
      <c r="P209" s="205"/>
      <c r="Q209" s="205"/>
      <c r="R209" s="21"/>
      <c r="T209" s="121"/>
      <c r="U209" s="27" t="s">
        <v>37</v>
      </c>
      <c r="V209" s="122">
        <v>0.681</v>
      </c>
      <c r="W209" s="122">
        <f>$V$209*$K$209</f>
        <v>1.311606</v>
      </c>
      <c r="X209" s="122">
        <v>0.00519</v>
      </c>
      <c r="Y209" s="122">
        <f>$X$209*$K$209</f>
        <v>0.00999594</v>
      </c>
      <c r="Z209" s="122">
        <v>0</v>
      </c>
      <c r="AA209" s="123">
        <f>$Z$209*$K$209</f>
        <v>0</v>
      </c>
      <c r="AR209" s="6" t="s">
        <v>166</v>
      </c>
      <c r="AT209" s="6" t="s">
        <v>162</v>
      </c>
      <c r="AU209" s="6" t="s">
        <v>102</v>
      </c>
      <c r="AY209" s="6" t="s">
        <v>161</v>
      </c>
      <c r="BE209" s="76">
        <f>IF($U$209="základní",$N$209,0)</f>
        <v>0</v>
      </c>
      <c r="BF209" s="76">
        <f>IF($U$209="snížená",$N$209,0)</f>
        <v>0</v>
      </c>
      <c r="BG209" s="76">
        <f>IF($U$209="zákl. přenesená",$N$209,0)</f>
        <v>0</v>
      </c>
      <c r="BH209" s="76">
        <f>IF($U$209="sníž. přenesená",$N$209,0)</f>
        <v>0</v>
      </c>
      <c r="BI209" s="76">
        <f>IF($U$209="nulová",$N$209,0)</f>
        <v>0</v>
      </c>
      <c r="BJ209" s="6" t="s">
        <v>16</v>
      </c>
      <c r="BK209" s="76">
        <f>ROUND($L$209*$K$209,2)</f>
        <v>0</v>
      </c>
    </row>
    <row r="210" spans="2:51" s="6" customFormat="1" ht="15.75" customHeight="1">
      <c r="B210" s="129"/>
      <c r="E210" s="130"/>
      <c r="F210" s="213" t="s">
        <v>261</v>
      </c>
      <c r="G210" s="214"/>
      <c r="H210" s="214"/>
      <c r="I210" s="214"/>
      <c r="K210" s="131">
        <v>1.926</v>
      </c>
      <c r="N210" s="130"/>
      <c r="R210" s="132"/>
      <c r="T210" s="133"/>
      <c r="AA210" s="134"/>
      <c r="AT210" s="130" t="s">
        <v>168</v>
      </c>
      <c r="AU210" s="130" t="s">
        <v>102</v>
      </c>
      <c r="AV210" s="130" t="s">
        <v>102</v>
      </c>
      <c r="AW210" s="130" t="s">
        <v>112</v>
      </c>
      <c r="AX210" s="130" t="s">
        <v>16</v>
      </c>
      <c r="AY210" s="130" t="s">
        <v>161</v>
      </c>
    </row>
    <row r="211" spans="2:63" s="6" customFormat="1" ht="15.75" customHeight="1">
      <c r="B211" s="20"/>
      <c r="C211" s="117" t="s">
        <v>262</v>
      </c>
      <c r="D211" s="117" t="s">
        <v>162</v>
      </c>
      <c r="E211" s="118" t="s">
        <v>263</v>
      </c>
      <c r="F211" s="204" t="s">
        <v>264</v>
      </c>
      <c r="G211" s="205"/>
      <c r="H211" s="205"/>
      <c r="I211" s="205"/>
      <c r="J211" s="119" t="s">
        <v>174</v>
      </c>
      <c r="K211" s="120">
        <v>1.926</v>
      </c>
      <c r="L211" s="206">
        <v>0</v>
      </c>
      <c r="M211" s="205"/>
      <c r="N211" s="207">
        <f>ROUND($L$211*$K$211,2)</f>
        <v>0</v>
      </c>
      <c r="O211" s="205"/>
      <c r="P211" s="205"/>
      <c r="Q211" s="205"/>
      <c r="R211" s="21"/>
      <c r="T211" s="121"/>
      <c r="U211" s="27" t="s">
        <v>37</v>
      </c>
      <c r="V211" s="122">
        <v>0.24</v>
      </c>
      <c r="W211" s="122">
        <f>$V$211*$K$211</f>
        <v>0.46224</v>
      </c>
      <c r="X211" s="122">
        <v>0</v>
      </c>
      <c r="Y211" s="122">
        <f>$X$211*$K$211</f>
        <v>0</v>
      </c>
      <c r="Z211" s="122">
        <v>0</v>
      </c>
      <c r="AA211" s="123">
        <f>$Z$211*$K$211</f>
        <v>0</v>
      </c>
      <c r="AR211" s="6" t="s">
        <v>166</v>
      </c>
      <c r="AT211" s="6" t="s">
        <v>162</v>
      </c>
      <c r="AU211" s="6" t="s">
        <v>102</v>
      </c>
      <c r="AY211" s="6" t="s">
        <v>161</v>
      </c>
      <c r="BE211" s="76">
        <f>IF($U$211="základní",$N$211,0)</f>
        <v>0</v>
      </c>
      <c r="BF211" s="76">
        <f>IF($U$211="snížená",$N$211,0)</f>
        <v>0</v>
      </c>
      <c r="BG211" s="76">
        <f>IF($U$211="zákl. přenesená",$N$211,0)</f>
        <v>0</v>
      </c>
      <c r="BH211" s="76">
        <f>IF($U$211="sníž. přenesená",$N$211,0)</f>
        <v>0</v>
      </c>
      <c r="BI211" s="76">
        <f>IF($U$211="nulová",$N$211,0)</f>
        <v>0</v>
      </c>
      <c r="BJ211" s="6" t="s">
        <v>16</v>
      </c>
      <c r="BK211" s="76">
        <f>ROUND($L$211*$K$211,2)</f>
        <v>0</v>
      </c>
    </row>
    <row r="212" spans="2:63" s="6" customFormat="1" ht="27" customHeight="1">
      <c r="B212" s="20"/>
      <c r="C212" s="117" t="s">
        <v>265</v>
      </c>
      <c r="D212" s="117" t="s">
        <v>162</v>
      </c>
      <c r="E212" s="118" t="s">
        <v>266</v>
      </c>
      <c r="F212" s="204" t="s">
        <v>267</v>
      </c>
      <c r="G212" s="205"/>
      <c r="H212" s="205"/>
      <c r="I212" s="205"/>
      <c r="J212" s="119" t="s">
        <v>224</v>
      </c>
      <c r="K212" s="120">
        <v>0.01</v>
      </c>
      <c r="L212" s="206">
        <v>0</v>
      </c>
      <c r="M212" s="205"/>
      <c r="N212" s="207">
        <f>ROUND($L$212*$K$212,2)</f>
        <v>0</v>
      </c>
      <c r="O212" s="205"/>
      <c r="P212" s="205"/>
      <c r="Q212" s="205"/>
      <c r="R212" s="21"/>
      <c r="T212" s="121"/>
      <c r="U212" s="27" t="s">
        <v>37</v>
      </c>
      <c r="V212" s="122">
        <v>37.704</v>
      </c>
      <c r="W212" s="122">
        <f>$V$212*$K$212</f>
        <v>0.37704000000000004</v>
      </c>
      <c r="X212" s="122">
        <v>1.05256</v>
      </c>
      <c r="Y212" s="122">
        <f>$X$212*$K$212</f>
        <v>0.0105256</v>
      </c>
      <c r="Z212" s="122">
        <v>0</v>
      </c>
      <c r="AA212" s="123">
        <f>$Z$212*$K$212</f>
        <v>0</v>
      </c>
      <c r="AR212" s="6" t="s">
        <v>166</v>
      </c>
      <c r="AT212" s="6" t="s">
        <v>162</v>
      </c>
      <c r="AU212" s="6" t="s">
        <v>102</v>
      </c>
      <c r="AY212" s="6" t="s">
        <v>161</v>
      </c>
      <c r="BE212" s="76">
        <f>IF($U$212="základní",$N$212,0)</f>
        <v>0</v>
      </c>
      <c r="BF212" s="76">
        <f>IF($U$212="snížená",$N$212,0)</f>
        <v>0</v>
      </c>
      <c r="BG212" s="76">
        <f>IF($U$212="zákl. přenesená",$N$212,0)</f>
        <v>0</v>
      </c>
      <c r="BH212" s="76">
        <f>IF($U$212="sníž. přenesená",$N$212,0)</f>
        <v>0</v>
      </c>
      <c r="BI212" s="76">
        <f>IF($U$212="nulová",$N$212,0)</f>
        <v>0</v>
      </c>
      <c r="BJ212" s="6" t="s">
        <v>16</v>
      </c>
      <c r="BK212" s="76">
        <f>ROUND($L$212*$K$212,2)</f>
        <v>0</v>
      </c>
    </row>
    <row r="213" spans="2:51" s="6" customFormat="1" ht="15.75" customHeight="1">
      <c r="B213" s="129"/>
      <c r="E213" s="130"/>
      <c r="F213" s="213" t="s">
        <v>268</v>
      </c>
      <c r="G213" s="214"/>
      <c r="H213" s="214"/>
      <c r="I213" s="214"/>
      <c r="K213" s="131">
        <v>0.01</v>
      </c>
      <c r="N213" s="130"/>
      <c r="R213" s="132"/>
      <c r="T213" s="133"/>
      <c r="AA213" s="134"/>
      <c r="AT213" s="130" t="s">
        <v>168</v>
      </c>
      <c r="AU213" s="130" t="s">
        <v>102</v>
      </c>
      <c r="AV213" s="130" t="s">
        <v>102</v>
      </c>
      <c r="AW213" s="130" t="s">
        <v>112</v>
      </c>
      <c r="AX213" s="130" t="s">
        <v>16</v>
      </c>
      <c r="AY213" s="130" t="s">
        <v>161</v>
      </c>
    </row>
    <row r="214" spans="2:63" s="107" customFormat="1" ht="30.75" customHeight="1">
      <c r="B214" s="108"/>
      <c r="D214" s="116" t="s">
        <v>118</v>
      </c>
      <c r="N214" s="222">
        <f>$BK$214</f>
        <v>0</v>
      </c>
      <c r="O214" s="210"/>
      <c r="P214" s="210"/>
      <c r="Q214" s="210"/>
      <c r="R214" s="111"/>
      <c r="T214" s="112"/>
      <c r="W214" s="113">
        <f>SUM($W$215:$W$344)</f>
        <v>113.74281099999997</v>
      </c>
      <c r="Y214" s="113">
        <f>SUM($Y$215:$Y$344)</f>
        <v>5.645380450000001</v>
      </c>
      <c r="AA214" s="114">
        <f>SUM($AA$215:$AA$344)</f>
        <v>0</v>
      </c>
      <c r="AR214" s="110" t="s">
        <v>16</v>
      </c>
      <c r="AT214" s="110" t="s">
        <v>71</v>
      </c>
      <c r="AU214" s="110" t="s">
        <v>16</v>
      </c>
      <c r="AY214" s="110" t="s">
        <v>161</v>
      </c>
      <c r="BK214" s="115">
        <f>SUM($BK$215:$BK$344)</f>
        <v>0</v>
      </c>
    </row>
    <row r="215" spans="2:63" s="6" customFormat="1" ht="27" customHeight="1">
      <c r="B215" s="20"/>
      <c r="C215" s="117" t="s">
        <v>269</v>
      </c>
      <c r="D215" s="117" t="s">
        <v>162</v>
      </c>
      <c r="E215" s="118" t="s">
        <v>270</v>
      </c>
      <c r="F215" s="204" t="s">
        <v>271</v>
      </c>
      <c r="G215" s="205"/>
      <c r="H215" s="205"/>
      <c r="I215" s="205"/>
      <c r="J215" s="119" t="s">
        <v>174</v>
      </c>
      <c r="K215" s="120">
        <v>0.48</v>
      </c>
      <c r="L215" s="206">
        <v>0</v>
      </c>
      <c r="M215" s="205"/>
      <c r="N215" s="207">
        <f>ROUND($L$215*$K$215,2)</f>
        <v>0</v>
      </c>
      <c r="O215" s="205"/>
      <c r="P215" s="205"/>
      <c r="Q215" s="205"/>
      <c r="R215" s="21"/>
      <c r="T215" s="121"/>
      <c r="U215" s="27" t="s">
        <v>37</v>
      </c>
      <c r="V215" s="122">
        <v>1.666</v>
      </c>
      <c r="W215" s="122">
        <f>$V$215*$K$215</f>
        <v>0.79968</v>
      </c>
      <c r="X215" s="122">
        <v>0.04153</v>
      </c>
      <c r="Y215" s="122">
        <f>$X$215*$K$215</f>
        <v>0.019934399999999998</v>
      </c>
      <c r="Z215" s="122">
        <v>0</v>
      </c>
      <c r="AA215" s="123">
        <f>$Z$215*$K$215</f>
        <v>0</v>
      </c>
      <c r="AR215" s="6" t="s">
        <v>166</v>
      </c>
      <c r="AT215" s="6" t="s">
        <v>162</v>
      </c>
      <c r="AU215" s="6" t="s">
        <v>102</v>
      </c>
      <c r="AY215" s="6" t="s">
        <v>161</v>
      </c>
      <c r="BE215" s="76">
        <f>IF($U$215="základní",$N$215,0)</f>
        <v>0</v>
      </c>
      <c r="BF215" s="76">
        <f>IF($U$215="snížená",$N$215,0)</f>
        <v>0</v>
      </c>
      <c r="BG215" s="76">
        <f>IF($U$215="zákl. přenesená",$N$215,0)</f>
        <v>0</v>
      </c>
      <c r="BH215" s="76">
        <f>IF($U$215="sníž. přenesená",$N$215,0)</f>
        <v>0</v>
      </c>
      <c r="BI215" s="76">
        <f>IF($U$215="nulová",$N$215,0)</f>
        <v>0</v>
      </c>
      <c r="BJ215" s="6" t="s">
        <v>16</v>
      </c>
      <c r="BK215" s="76">
        <f>ROUND($L$215*$K$215,2)</f>
        <v>0</v>
      </c>
    </row>
    <row r="216" spans="2:51" s="6" customFormat="1" ht="15.75" customHeight="1">
      <c r="B216" s="129"/>
      <c r="E216" s="130"/>
      <c r="F216" s="213" t="s">
        <v>272</v>
      </c>
      <c r="G216" s="214"/>
      <c r="H216" s="214"/>
      <c r="I216" s="214"/>
      <c r="K216" s="131">
        <v>0.48</v>
      </c>
      <c r="N216" s="130"/>
      <c r="R216" s="132"/>
      <c r="T216" s="133"/>
      <c r="AA216" s="134"/>
      <c r="AT216" s="130" t="s">
        <v>168</v>
      </c>
      <c r="AU216" s="130" t="s">
        <v>102</v>
      </c>
      <c r="AV216" s="130" t="s">
        <v>102</v>
      </c>
      <c r="AW216" s="130" t="s">
        <v>112</v>
      </c>
      <c r="AX216" s="130" t="s">
        <v>16</v>
      </c>
      <c r="AY216" s="130" t="s">
        <v>161</v>
      </c>
    </row>
    <row r="217" spans="2:63" s="6" customFormat="1" ht="27" customHeight="1">
      <c r="B217" s="20"/>
      <c r="C217" s="117" t="s">
        <v>273</v>
      </c>
      <c r="D217" s="117" t="s">
        <v>162</v>
      </c>
      <c r="E217" s="118" t="s">
        <v>274</v>
      </c>
      <c r="F217" s="204" t="s">
        <v>275</v>
      </c>
      <c r="G217" s="205"/>
      <c r="H217" s="205"/>
      <c r="I217" s="205"/>
      <c r="J217" s="119" t="s">
        <v>249</v>
      </c>
      <c r="K217" s="120">
        <v>6</v>
      </c>
      <c r="L217" s="206">
        <v>0</v>
      </c>
      <c r="M217" s="205"/>
      <c r="N217" s="207">
        <f>ROUND($L$217*$K$217,2)</f>
        <v>0</v>
      </c>
      <c r="O217" s="205"/>
      <c r="P217" s="205"/>
      <c r="Q217" s="205"/>
      <c r="R217" s="21"/>
      <c r="T217" s="121"/>
      <c r="U217" s="27" t="s">
        <v>37</v>
      </c>
      <c r="V217" s="122">
        <v>0.888</v>
      </c>
      <c r="W217" s="122">
        <f>$V$217*$K$217</f>
        <v>5.328</v>
      </c>
      <c r="X217" s="122">
        <v>0.0415</v>
      </c>
      <c r="Y217" s="122">
        <f>$X$217*$K$217</f>
        <v>0.249</v>
      </c>
      <c r="Z217" s="122">
        <v>0</v>
      </c>
      <c r="AA217" s="123">
        <f>$Z$217*$K$217</f>
        <v>0</v>
      </c>
      <c r="AR217" s="6" t="s">
        <v>166</v>
      </c>
      <c r="AT217" s="6" t="s">
        <v>162</v>
      </c>
      <c r="AU217" s="6" t="s">
        <v>102</v>
      </c>
      <c r="AY217" s="6" t="s">
        <v>161</v>
      </c>
      <c r="BE217" s="76">
        <f>IF($U$217="základní",$N$217,0)</f>
        <v>0</v>
      </c>
      <c r="BF217" s="76">
        <f>IF($U$217="snížená",$N$217,0)</f>
        <v>0</v>
      </c>
      <c r="BG217" s="76">
        <f>IF($U$217="zákl. přenesená",$N$217,0)</f>
        <v>0</v>
      </c>
      <c r="BH217" s="76">
        <f>IF($U$217="sníž. přenesená",$N$217,0)</f>
        <v>0</v>
      </c>
      <c r="BI217" s="76">
        <f>IF($U$217="nulová",$N$217,0)</f>
        <v>0</v>
      </c>
      <c r="BJ217" s="6" t="s">
        <v>16</v>
      </c>
      <c r="BK217" s="76">
        <f>ROUND($L$217*$K$217,2)</f>
        <v>0</v>
      </c>
    </row>
    <row r="218" spans="2:51" s="6" customFormat="1" ht="15.75" customHeight="1">
      <c r="B218" s="124"/>
      <c r="E218" s="125"/>
      <c r="F218" s="211" t="s">
        <v>167</v>
      </c>
      <c r="G218" s="212"/>
      <c r="H218" s="212"/>
      <c r="I218" s="212"/>
      <c r="K218" s="125"/>
      <c r="N218" s="125"/>
      <c r="R218" s="126"/>
      <c r="T218" s="127"/>
      <c r="AA218" s="128"/>
      <c r="AT218" s="125" t="s">
        <v>168</v>
      </c>
      <c r="AU218" s="125" t="s">
        <v>102</v>
      </c>
      <c r="AV218" s="125" t="s">
        <v>16</v>
      </c>
      <c r="AW218" s="125" t="s">
        <v>112</v>
      </c>
      <c r="AX218" s="125" t="s">
        <v>72</v>
      </c>
      <c r="AY218" s="125" t="s">
        <v>161</v>
      </c>
    </row>
    <row r="219" spans="2:51" s="6" customFormat="1" ht="15.75" customHeight="1">
      <c r="B219" s="124"/>
      <c r="E219" s="125"/>
      <c r="F219" s="211" t="s">
        <v>276</v>
      </c>
      <c r="G219" s="212"/>
      <c r="H219" s="212"/>
      <c r="I219" s="212"/>
      <c r="K219" s="125"/>
      <c r="N219" s="125"/>
      <c r="R219" s="126"/>
      <c r="T219" s="127"/>
      <c r="AA219" s="128"/>
      <c r="AT219" s="125" t="s">
        <v>168</v>
      </c>
      <c r="AU219" s="125" t="s">
        <v>102</v>
      </c>
      <c r="AV219" s="125" t="s">
        <v>16</v>
      </c>
      <c r="AW219" s="125" t="s">
        <v>112</v>
      </c>
      <c r="AX219" s="125" t="s">
        <v>72</v>
      </c>
      <c r="AY219" s="125" t="s">
        <v>161</v>
      </c>
    </row>
    <row r="220" spans="2:51" s="6" customFormat="1" ht="15.75" customHeight="1">
      <c r="B220" s="129"/>
      <c r="E220" s="130"/>
      <c r="F220" s="213" t="s">
        <v>184</v>
      </c>
      <c r="G220" s="214"/>
      <c r="H220" s="214"/>
      <c r="I220" s="214"/>
      <c r="K220" s="131">
        <v>6</v>
      </c>
      <c r="N220" s="130"/>
      <c r="R220" s="132"/>
      <c r="T220" s="133"/>
      <c r="AA220" s="134"/>
      <c r="AT220" s="130" t="s">
        <v>168</v>
      </c>
      <c r="AU220" s="130" t="s">
        <v>102</v>
      </c>
      <c r="AV220" s="130" t="s">
        <v>102</v>
      </c>
      <c r="AW220" s="130" t="s">
        <v>112</v>
      </c>
      <c r="AX220" s="130" t="s">
        <v>16</v>
      </c>
      <c r="AY220" s="130" t="s">
        <v>161</v>
      </c>
    </row>
    <row r="221" spans="2:63" s="6" customFormat="1" ht="27" customHeight="1">
      <c r="B221" s="20"/>
      <c r="C221" s="117" t="s">
        <v>277</v>
      </c>
      <c r="D221" s="117" t="s">
        <v>162</v>
      </c>
      <c r="E221" s="118" t="s">
        <v>278</v>
      </c>
      <c r="F221" s="204" t="s">
        <v>279</v>
      </c>
      <c r="G221" s="205"/>
      <c r="H221" s="205"/>
      <c r="I221" s="205"/>
      <c r="J221" s="119" t="s">
        <v>174</v>
      </c>
      <c r="K221" s="120">
        <v>59.299</v>
      </c>
      <c r="L221" s="206">
        <v>0</v>
      </c>
      <c r="M221" s="205"/>
      <c r="N221" s="207">
        <f>ROUND($L$221*$K$221,2)</f>
        <v>0</v>
      </c>
      <c r="O221" s="205"/>
      <c r="P221" s="205"/>
      <c r="Q221" s="205"/>
      <c r="R221" s="21"/>
      <c r="T221" s="121"/>
      <c r="U221" s="27" t="s">
        <v>37</v>
      </c>
      <c r="V221" s="122">
        <v>0.111</v>
      </c>
      <c r="W221" s="122">
        <f>$V$221*$K$221</f>
        <v>6.582189</v>
      </c>
      <c r="X221" s="122">
        <v>0.0014</v>
      </c>
      <c r="Y221" s="122">
        <f>$X$221*$K$221</f>
        <v>0.0830186</v>
      </c>
      <c r="Z221" s="122">
        <v>0</v>
      </c>
      <c r="AA221" s="123">
        <f>$Z$221*$K$221</f>
        <v>0</v>
      </c>
      <c r="AR221" s="6" t="s">
        <v>166</v>
      </c>
      <c r="AT221" s="6" t="s">
        <v>162</v>
      </c>
      <c r="AU221" s="6" t="s">
        <v>102</v>
      </c>
      <c r="AY221" s="6" t="s">
        <v>161</v>
      </c>
      <c r="BE221" s="76">
        <f>IF($U$221="základní",$N$221,0)</f>
        <v>0</v>
      </c>
      <c r="BF221" s="76">
        <f>IF($U$221="snížená",$N$221,0)</f>
        <v>0</v>
      </c>
      <c r="BG221" s="76">
        <f>IF($U$221="zákl. přenesená",$N$221,0)</f>
        <v>0</v>
      </c>
      <c r="BH221" s="76">
        <f>IF($U$221="sníž. přenesená",$N$221,0)</f>
        <v>0</v>
      </c>
      <c r="BI221" s="76">
        <f>IF($U$221="nulová",$N$221,0)</f>
        <v>0</v>
      </c>
      <c r="BJ221" s="6" t="s">
        <v>16</v>
      </c>
      <c r="BK221" s="76">
        <f>ROUND($L$221*$K$221,2)</f>
        <v>0</v>
      </c>
    </row>
    <row r="222" spans="2:51" s="6" customFormat="1" ht="15.75" customHeight="1">
      <c r="B222" s="124"/>
      <c r="E222" s="125"/>
      <c r="F222" s="211" t="s">
        <v>167</v>
      </c>
      <c r="G222" s="212"/>
      <c r="H222" s="212"/>
      <c r="I222" s="212"/>
      <c r="K222" s="125"/>
      <c r="N222" s="125"/>
      <c r="R222" s="126"/>
      <c r="T222" s="127"/>
      <c r="AA222" s="128"/>
      <c r="AT222" s="125" t="s">
        <v>168</v>
      </c>
      <c r="AU222" s="125" t="s">
        <v>102</v>
      </c>
      <c r="AV222" s="125" t="s">
        <v>16</v>
      </c>
      <c r="AW222" s="125" t="s">
        <v>112</v>
      </c>
      <c r="AX222" s="125" t="s">
        <v>72</v>
      </c>
      <c r="AY222" s="125" t="s">
        <v>161</v>
      </c>
    </row>
    <row r="223" spans="2:51" s="6" customFormat="1" ht="15.75" customHeight="1">
      <c r="B223" s="124"/>
      <c r="E223" s="125"/>
      <c r="F223" s="211" t="s">
        <v>210</v>
      </c>
      <c r="G223" s="212"/>
      <c r="H223" s="212"/>
      <c r="I223" s="212"/>
      <c r="K223" s="125"/>
      <c r="N223" s="125"/>
      <c r="R223" s="126"/>
      <c r="T223" s="127"/>
      <c r="AA223" s="128"/>
      <c r="AT223" s="125" t="s">
        <v>168</v>
      </c>
      <c r="AU223" s="125" t="s">
        <v>102</v>
      </c>
      <c r="AV223" s="125" t="s">
        <v>16</v>
      </c>
      <c r="AW223" s="125" t="s">
        <v>112</v>
      </c>
      <c r="AX223" s="125" t="s">
        <v>72</v>
      </c>
      <c r="AY223" s="125" t="s">
        <v>161</v>
      </c>
    </row>
    <row r="224" spans="2:51" s="6" customFormat="1" ht="15.75" customHeight="1">
      <c r="B224" s="129"/>
      <c r="E224" s="130"/>
      <c r="F224" s="213" t="s">
        <v>280</v>
      </c>
      <c r="G224" s="214"/>
      <c r="H224" s="214"/>
      <c r="I224" s="214"/>
      <c r="K224" s="131">
        <v>6.99</v>
      </c>
      <c r="N224" s="130"/>
      <c r="R224" s="132"/>
      <c r="T224" s="133"/>
      <c r="AA224" s="134"/>
      <c r="AT224" s="130" t="s">
        <v>168</v>
      </c>
      <c r="AU224" s="130" t="s">
        <v>102</v>
      </c>
      <c r="AV224" s="130" t="s">
        <v>102</v>
      </c>
      <c r="AW224" s="130" t="s">
        <v>112</v>
      </c>
      <c r="AX224" s="130" t="s">
        <v>72</v>
      </c>
      <c r="AY224" s="130" t="s">
        <v>161</v>
      </c>
    </row>
    <row r="225" spans="2:51" s="6" customFormat="1" ht="15.75" customHeight="1">
      <c r="B225" s="129"/>
      <c r="E225" s="130"/>
      <c r="F225" s="213" t="s">
        <v>281</v>
      </c>
      <c r="G225" s="214"/>
      <c r="H225" s="214"/>
      <c r="I225" s="214"/>
      <c r="K225" s="131">
        <v>21.666</v>
      </c>
      <c r="N225" s="130"/>
      <c r="R225" s="132"/>
      <c r="T225" s="133"/>
      <c r="AA225" s="134"/>
      <c r="AT225" s="130" t="s">
        <v>168</v>
      </c>
      <c r="AU225" s="130" t="s">
        <v>102</v>
      </c>
      <c r="AV225" s="130" t="s">
        <v>102</v>
      </c>
      <c r="AW225" s="130" t="s">
        <v>112</v>
      </c>
      <c r="AX225" s="130" t="s">
        <v>72</v>
      </c>
      <c r="AY225" s="130" t="s">
        <v>161</v>
      </c>
    </row>
    <row r="226" spans="2:51" s="6" customFormat="1" ht="15.75" customHeight="1">
      <c r="B226" s="129"/>
      <c r="E226" s="130"/>
      <c r="F226" s="213" t="s">
        <v>282</v>
      </c>
      <c r="G226" s="214"/>
      <c r="H226" s="214"/>
      <c r="I226" s="214"/>
      <c r="K226" s="131">
        <v>5.152</v>
      </c>
      <c r="N226" s="130"/>
      <c r="R226" s="132"/>
      <c r="T226" s="133"/>
      <c r="AA226" s="134"/>
      <c r="AT226" s="130" t="s">
        <v>168</v>
      </c>
      <c r="AU226" s="130" t="s">
        <v>102</v>
      </c>
      <c r="AV226" s="130" t="s">
        <v>102</v>
      </c>
      <c r="AW226" s="130" t="s">
        <v>112</v>
      </c>
      <c r="AX226" s="130" t="s">
        <v>72</v>
      </c>
      <c r="AY226" s="130" t="s">
        <v>161</v>
      </c>
    </row>
    <row r="227" spans="2:51" s="6" customFormat="1" ht="15.75" customHeight="1">
      <c r="B227" s="124"/>
      <c r="E227" s="125"/>
      <c r="F227" s="211" t="s">
        <v>215</v>
      </c>
      <c r="G227" s="212"/>
      <c r="H227" s="212"/>
      <c r="I227" s="212"/>
      <c r="K227" s="125"/>
      <c r="N227" s="125"/>
      <c r="R227" s="126"/>
      <c r="T227" s="127"/>
      <c r="AA227" s="128"/>
      <c r="AT227" s="125" t="s">
        <v>168</v>
      </c>
      <c r="AU227" s="125" t="s">
        <v>102</v>
      </c>
      <c r="AV227" s="125" t="s">
        <v>16</v>
      </c>
      <c r="AW227" s="125" t="s">
        <v>112</v>
      </c>
      <c r="AX227" s="125" t="s">
        <v>72</v>
      </c>
      <c r="AY227" s="125" t="s">
        <v>161</v>
      </c>
    </row>
    <row r="228" spans="2:51" s="6" customFormat="1" ht="15.75" customHeight="1">
      <c r="B228" s="129"/>
      <c r="E228" s="130"/>
      <c r="F228" s="213" t="s">
        <v>283</v>
      </c>
      <c r="G228" s="214"/>
      <c r="H228" s="214"/>
      <c r="I228" s="214"/>
      <c r="K228" s="131">
        <v>17.976</v>
      </c>
      <c r="N228" s="130"/>
      <c r="R228" s="132"/>
      <c r="T228" s="133"/>
      <c r="AA228" s="134"/>
      <c r="AT228" s="130" t="s">
        <v>168</v>
      </c>
      <c r="AU228" s="130" t="s">
        <v>102</v>
      </c>
      <c r="AV228" s="130" t="s">
        <v>102</v>
      </c>
      <c r="AW228" s="130" t="s">
        <v>112</v>
      </c>
      <c r="AX228" s="130" t="s">
        <v>72</v>
      </c>
      <c r="AY228" s="130" t="s">
        <v>161</v>
      </c>
    </row>
    <row r="229" spans="2:51" s="6" customFormat="1" ht="15.75" customHeight="1">
      <c r="B229" s="124"/>
      <c r="E229" s="125"/>
      <c r="F229" s="211" t="s">
        <v>219</v>
      </c>
      <c r="G229" s="212"/>
      <c r="H229" s="212"/>
      <c r="I229" s="212"/>
      <c r="K229" s="125"/>
      <c r="N229" s="125"/>
      <c r="R229" s="126"/>
      <c r="T229" s="127"/>
      <c r="AA229" s="128"/>
      <c r="AT229" s="125" t="s">
        <v>168</v>
      </c>
      <c r="AU229" s="125" t="s">
        <v>102</v>
      </c>
      <c r="AV229" s="125" t="s">
        <v>16</v>
      </c>
      <c r="AW229" s="125" t="s">
        <v>112</v>
      </c>
      <c r="AX229" s="125" t="s">
        <v>72</v>
      </c>
      <c r="AY229" s="125" t="s">
        <v>161</v>
      </c>
    </row>
    <row r="230" spans="2:51" s="6" customFormat="1" ht="15.75" customHeight="1">
      <c r="B230" s="129"/>
      <c r="E230" s="130"/>
      <c r="F230" s="213" t="s">
        <v>220</v>
      </c>
      <c r="G230" s="214"/>
      <c r="H230" s="214"/>
      <c r="I230" s="214"/>
      <c r="K230" s="131">
        <v>7.515</v>
      </c>
      <c r="N230" s="130"/>
      <c r="R230" s="132"/>
      <c r="T230" s="133"/>
      <c r="AA230" s="134"/>
      <c r="AT230" s="130" t="s">
        <v>168</v>
      </c>
      <c r="AU230" s="130" t="s">
        <v>102</v>
      </c>
      <c r="AV230" s="130" t="s">
        <v>102</v>
      </c>
      <c r="AW230" s="130" t="s">
        <v>112</v>
      </c>
      <c r="AX230" s="130" t="s">
        <v>72</v>
      </c>
      <c r="AY230" s="130" t="s">
        <v>161</v>
      </c>
    </row>
    <row r="231" spans="2:51" s="6" customFormat="1" ht="15.75" customHeight="1">
      <c r="B231" s="135"/>
      <c r="E231" s="136"/>
      <c r="F231" s="215" t="s">
        <v>171</v>
      </c>
      <c r="G231" s="216"/>
      <c r="H231" s="216"/>
      <c r="I231" s="216"/>
      <c r="K231" s="137">
        <v>59.299</v>
      </c>
      <c r="N231" s="136"/>
      <c r="R231" s="138"/>
      <c r="T231" s="139"/>
      <c r="AA231" s="140"/>
      <c r="AT231" s="136" t="s">
        <v>168</v>
      </c>
      <c r="AU231" s="136" t="s">
        <v>102</v>
      </c>
      <c r="AV231" s="136" t="s">
        <v>166</v>
      </c>
      <c r="AW231" s="136" t="s">
        <v>112</v>
      </c>
      <c r="AX231" s="136" t="s">
        <v>16</v>
      </c>
      <c r="AY231" s="136" t="s">
        <v>161</v>
      </c>
    </row>
    <row r="232" spans="2:63" s="6" customFormat="1" ht="27" customHeight="1">
      <c r="B232" s="20"/>
      <c r="C232" s="117" t="s">
        <v>284</v>
      </c>
      <c r="D232" s="117" t="s">
        <v>162</v>
      </c>
      <c r="E232" s="118" t="s">
        <v>285</v>
      </c>
      <c r="F232" s="204" t="s">
        <v>286</v>
      </c>
      <c r="G232" s="205"/>
      <c r="H232" s="205"/>
      <c r="I232" s="205"/>
      <c r="J232" s="119" t="s">
        <v>174</v>
      </c>
      <c r="K232" s="120">
        <v>59.299</v>
      </c>
      <c r="L232" s="206">
        <v>0</v>
      </c>
      <c r="M232" s="205"/>
      <c r="N232" s="207">
        <f>ROUND($L$232*$K$232,2)</f>
        <v>0</v>
      </c>
      <c r="O232" s="205"/>
      <c r="P232" s="205"/>
      <c r="Q232" s="205"/>
      <c r="R232" s="21"/>
      <c r="T232" s="121"/>
      <c r="U232" s="27" t="s">
        <v>37</v>
      </c>
      <c r="V232" s="122">
        <v>0.104</v>
      </c>
      <c r="W232" s="122">
        <f>$V$232*$K$232</f>
        <v>6.167096</v>
      </c>
      <c r="X232" s="122">
        <v>0.00047</v>
      </c>
      <c r="Y232" s="122">
        <f>$X$232*$K$232</f>
        <v>0.027870529999999998</v>
      </c>
      <c r="Z232" s="122">
        <v>0</v>
      </c>
      <c r="AA232" s="123">
        <f>$Z$232*$K$232</f>
        <v>0</v>
      </c>
      <c r="AR232" s="6" t="s">
        <v>166</v>
      </c>
      <c r="AT232" s="6" t="s">
        <v>162</v>
      </c>
      <c r="AU232" s="6" t="s">
        <v>102</v>
      </c>
      <c r="AY232" s="6" t="s">
        <v>161</v>
      </c>
      <c r="BE232" s="76">
        <f>IF($U$232="základní",$N$232,0)</f>
        <v>0</v>
      </c>
      <c r="BF232" s="76">
        <f>IF($U$232="snížená",$N$232,0)</f>
        <v>0</v>
      </c>
      <c r="BG232" s="76">
        <f>IF($U$232="zákl. přenesená",$N$232,0)</f>
        <v>0</v>
      </c>
      <c r="BH232" s="76">
        <f>IF($U$232="sníž. přenesená",$N$232,0)</f>
        <v>0</v>
      </c>
      <c r="BI232" s="76">
        <f>IF($U$232="nulová",$N$232,0)</f>
        <v>0</v>
      </c>
      <c r="BJ232" s="6" t="s">
        <v>16</v>
      </c>
      <c r="BK232" s="76">
        <f>ROUND($L$232*$K$232,2)</f>
        <v>0</v>
      </c>
    </row>
    <row r="233" spans="2:51" s="6" customFormat="1" ht="15.75" customHeight="1">
      <c r="B233" s="124"/>
      <c r="E233" s="125"/>
      <c r="F233" s="211" t="s">
        <v>167</v>
      </c>
      <c r="G233" s="212"/>
      <c r="H233" s="212"/>
      <c r="I233" s="212"/>
      <c r="K233" s="125"/>
      <c r="N233" s="125"/>
      <c r="R233" s="126"/>
      <c r="T233" s="127"/>
      <c r="AA233" s="128"/>
      <c r="AT233" s="125" t="s">
        <v>168</v>
      </c>
      <c r="AU233" s="125" t="s">
        <v>102</v>
      </c>
      <c r="AV233" s="125" t="s">
        <v>16</v>
      </c>
      <c r="AW233" s="125" t="s">
        <v>112</v>
      </c>
      <c r="AX233" s="125" t="s">
        <v>72</v>
      </c>
      <c r="AY233" s="125" t="s">
        <v>161</v>
      </c>
    </row>
    <row r="234" spans="2:51" s="6" customFormat="1" ht="15.75" customHeight="1">
      <c r="B234" s="124"/>
      <c r="E234" s="125"/>
      <c r="F234" s="211" t="s">
        <v>210</v>
      </c>
      <c r="G234" s="212"/>
      <c r="H234" s="212"/>
      <c r="I234" s="212"/>
      <c r="K234" s="125"/>
      <c r="N234" s="125"/>
      <c r="R234" s="126"/>
      <c r="T234" s="127"/>
      <c r="AA234" s="128"/>
      <c r="AT234" s="125" t="s">
        <v>168</v>
      </c>
      <c r="AU234" s="125" t="s">
        <v>102</v>
      </c>
      <c r="AV234" s="125" t="s">
        <v>16</v>
      </c>
      <c r="AW234" s="125" t="s">
        <v>112</v>
      </c>
      <c r="AX234" s="125" t="s">
        <v>72</v>
      </c>
      <c r="AY234" s="125" t="s">
        <v>161</v>
      </c>
    </row>
    <row r="235" spans="2:51" s="6" customFormat="1" ht="15.75" customHeight="1">
      <c r="B235" s="129"/>
      <c r="E235" s="130"/>
      <c r="F235" s="213" t="s">
        <v>280</v>
      </c>
      <c r="G235" s="214"/>
      <c r="H235" s="214"/>
      <c r="I235" s="214"/>
      <c r="K235" s="131">
        <v>6.99</v>
      </c>
      <c r="N235" s="130"/>
      <c r="R235" s="132"/>
      <c r="T235" s="133"/>
      <c r="AA235" s="134"/>
      <c r="AT235" s="130" t="s">
        <v>168</v>
      </c>
      <c r="AU235" s="130" t="s">
        <v>102</v>
      </c>
      <c r="AV235" s="130" t="s">
        <v>102</v>
      </c>
      <c r="AW235" s="130" t="s">
        <v>112</v>
      </c>
      <c r="AX235" s="130" t="s">
        <v>72</v>
      </c>
      <c r="AY235" s="130" t="s">
        <v>161</v>
      </c>
    </row>
    <row r="236" spans="2:51" s="6" customFormat="1" ht="15.75" customHeight="1">
      <c r="B236" s="129"/>
      <c r="E236" s="130"/>
      <c r="F236" s="213" t="s">
        <v>281</v>
      </c>
      <c r="G236" s="214"/>
      <c r="H236" s="214"/>
      <c r="I236" s="214"/>
      <c r="K236" s="131">
        <v>21.666</v>
      </c>
      <c r="N236" s="130"/>
      <c r="R236" s="132"/>
      <c r="T236" s="133"/>
      <c r="AA236" s="134"/>
      <c r="AT236" s="130" t="s">
        <v>168</v>
      </c>
      <c r="AU236" s="130" t="s">
        <v>102</v>
      </c>
      <c r="AV236" s="130" t="s">
        <v>102</v>
      </c>
      <c r="AW236" s="130" t="s">
        <v>112</v>
      </c>
      <c r="AX236" s="130" t="s">
        <v>72</v>
      </c>
      <c r="AY236" s="130" t="s">
        <v>161</v>
      </c>
    </row>
    <row r="237" spans="2:51" s="6" customFormat="1" ht="15.75" customHeight="1">
      <c r="B237" s="129"/>
      <c r="E237" s="130"/>
      <c r="F237" s="213" t="s">
        <v>282</v>
      </c>
      <c r="G237" s="214"/>
      <c r="H237" s="214"/>
      <c r="I237" s="214"/>
      <c r="K237" s="131">
        <v>5.152</v>
      </c>
      <c r="N237" s="130"/>
      <c r="R237" s="132"/>
      <c r="T237" s="133"/>
      <c r="AA237" s="134"/>
      <c r="AT237" s="130" t="s">
        <v>168</v>
      </c>
      <c r="AU237" s="130" t="s">
        <v>102</v>
      </c>
      <c r="AV237" s="130" t="s">
        <v>102</v>
      </c>
      <c r="AW237" s="130" t="s">
        <v>112</v>
      </c>
      <c r="AX237" s="130" t="s">
        <v>72</v>
      </c>
      <c r="AY237" s="130" t="s">
        <v>161</v>
      </c>
    </row>
    <row r="238" spans="2:51" s="6" customFormat="1" ht="15.75" customHeight="1">
      <c r="B238" s="124"/>
      <c r="E238" s="125"/>
      <c r="F238" s="211" t="s">
        <v>215</v>
      </c>
      <c r="G238" s="212"/>
      <c r="H238" s="212"/>
      <c r="I238" s="212"/>
      <c r="K238" s="125"/>
      <c r="N238" s="125"/>
      <c r="R238" s="126"/>
      <c r="T238" s="127"/>
      <c r="AA238" s="128"/>
      <c r="AT238" s="125" t="s">
        <v>168</v>
      </c>
      <c r="AU238" s="125" t="s">
        <v>102</v>
      </c>
      <c r="AV238" s="125" t="s">
        <v>16</v>
      </c>
      <c r="AW238" s="125" t="s">
        <v>112</v>
      </c>
      <c r="AX238" s="125" t="s">
        <v>72</v>
      </c>
      <c r="AY238" s="125" t="s">
        <v>161</v>
      </c>
    </row>
    <row r="239" spans="2:51" s="6" customFormat="1" ht="15.75" customHeight="1">
      <c r="B239" s="129"/>
      <c r="E239" s="130"/>
      <c r="F239" s="213" t="s">
        <v>283</v>
      </c>
      <c r="G239" s="214"/>
      <c r="H239" s="214"/>
      <c r="I239" s="214"/>
      <c r="K239" s="131">
        <v>17.976</v>
      </c>
      <c r="N239" s="130"/>
      <c r="R239" s="132"/>
      <c r="T239" s="133"/>
      <c r="AA239" s="134"/>
      <c r="AT239" s="130" t="s">
        <v>168</v>
      </c>
      <c r="AU239" s="130" t="s">
        <v>102</v>
      </c>
      <c r="AV239" s="130" t="s">
        <v>102</v>
      </c>
      <c r="AW239" s="130" t="s">
        <v>112</v>
      </c>
      <c r="AX239" s="130" t="s">
        <v>72</v>
      </c>
      <c r="AY239" s="130" t="s">
        <v>161</v>
      </c>
    </row>
    <row r="240" spans="2:51" s="6" customFormat="1" ht="15.75" customHeight="1">
      <c r="B240" s="124"/>
      <c r="E240" s="125"/>
      <c r="F240" s="211" t="s">
        <v>219</v>
      </c>
      <c r="G240" s="212"/>
      <c r="H240" s="212"/>
      <c r="I240" s="212"/>
      <c r="K240" s="125"/>
      <c r="N240" s="125"/>
      <c r="R240" s="126"/>
      <c r="T240" s="127"/>
      <c r="AA240" s="128"/>
      <c r="AT240" s="125" t="s">
        <v>168</v>
      </c>
      <c r="AU240" s="125" t="s">
        <v>102</v>
      </c>
      <c r="AV240" s="125" t="s">
        <v>16</v>
      </c>
      <c r="AW240" s="125" t="s">
        <v>112</v>
      </c>
      <c r="AX240" s="125" t="s">
        <v>72</v>
      </c>
      <c r="AY240" s="125" t="s">
        <v>161</v>
      </c>
    </row>
    <row r="241" spans="2:51" s="6" customFormat="1" ht="15.75" customHeight="1">
      <c r="B241" s="129"/>
      <c r="E241" s="130"/>
      <c r="F241" s="213" t="s">
        <v>220</v>
      </c>
      <c r="G241" s="214"/>
      <c r="H241" s="214"/>
      <c r="I241" s="214"/>
      <c r="K241" s="131">
        <v>7.515</v>
      </c>
      <c r="N241" s="130"/>
      <c r="R241" s="132"/>
      <c r="T241" s="133"/>
      <c r="AA241" s="134"/>
      <c r="AT241" s="130" t="s">
        <v>168</v>
      </c>
      <c r="AU241" s="130" t="s">
        <v>102</v>
      </c>
      <c r="AV241" s="130" t="s">
        <v>102</v>
      </c>
      <c r="AW241" s="130" t="s">
        <v>112</v>
      </c>
      <c r="AX241" s="130" t="s">
        <v>72</v>
      </c>
      <c r="AY241" s="130" t="s">
        <v>161</v>
      </c>
    </row>
    <row r="242" spans="2:51" s="6" customFormat="1" ht="15.75" customHeight="1">
      <c r="B242" s="135"/>
      <c r="E242" s="136"/>
      <c r="F242" s="215" t="s">
        <v>171</v>
      </c>
      <c r="G242" s="216"/>
      <c r="H242" s="216"/>
      <c r="I242" s="216"/>
      <c r="K242" s="137">
        <v>59.299</v>
      </c>
      <c r="N242" s="136"/>
      <c r="R242" s="138"/>
      <c r="T242" s="139"/>
      <c r="AA242" s="140"/>
      <c r="AT242" s="136" t="s">
        <v>168</v>
      </c>
      <c r="AU242" s="136" t="s">
        <v>102</v>
      </c>
      <c r="AV242" s="136" t="s">
        <v>166</v>
      </c>
      <c r="AW242" s="136" t="s">
        <v>112</v>
      </c>
      <c r="AX242" s="136" t="s">
        <v>16</v>
      </c>
      <c r="AY242" s="136" t="s">
        <v>161</v>
      </c>
    </row>
    <row r="243" spans="2:63" s="6" customFormat="1" ht="27" customHeight="1">
      <c r="B243" s="20"/>
      <c r="C243" s="117" t="s">
        <v>287</v>
      </c>
      <c r="D243" s="117" t="s">
        <v>162</v>
      </c>
      <c r="E243" s="118" t="s">
        <v>288</v>
      </c>
      <c r="F243" s="204" t="s">
        <v>289</v>
      </c>
      <c r="G243" s="205"/>
      <c r="H243" s="205"/>
      <c r="I243" s="205"/>
      <c r="J243" s="119" t="s">
        <v>174</v>
      </c>
      <c r="K243" s="120">
        <v>3.329</v>
      </c>
      <c r="L243" s="206">
        <v>0</v>
      </c>
      <c r="M243" s="205"/>
      <c r="N243" s="207">
        <f>ROUND($L$243*$K$243,2)</f>
        <v>0</v>
      </c>
      <c r="O243" s="205"/>
      <c r="P243" s="205"/>
      <c r="Q243" s="205"/>
      <c r="R243" s="21"/>
      <c r="T243" s="121"/>
      <c r="U243" s="27" t="s">
        <v>37</v>
      </c>
      <c r="V243" s="122">
        <v>0.56</v>
      </c>
      <c r="W243" s="122">
        <f>$V$243*$K$243</f>
        <v>1.8642400000000003</v>
      </c>
      <c r="X243" s="122">
        <v>0.0273</v>
      </c>
      <c r="Y243" s="122">
        <f>$X$243*$K$243</f>
        <v>0.09088170000000001</v>
      </c>
      <c r="Z243" s="122">
        <v>0</v>
      </c>
      <c r="AA243" s="123">
        <f>$Z$243*$K$243</f>
        <v>0</v>
      </c>
      <c r="AR243" s="6" t="s">
        <v>166</v>
      </c>
      <c r="AT243" s="6" t="s">
        <v>162</v>
      </c>
      <c r="AU243" s="6" t="s">
        <v>102</v>
      </c>
      <c r="AY243" s="6" t="s">
        <v>161</v>
      </c>
      <c r="BE243" s="76">
        <f>IF($U$243="základní",$N$243,0)</f>
        <v>0</v>
      </c>
      <c r="BF243" s="76">
        <f>IF($U$243="snížená",$N$243,0)</f>
        <v>0</v>
      </c>
      <c r="BG243" s="76">
        <f>IF($U$243="zákl. přenesená",$N$243,0)</f>
        <v>0</v>
      </c>
      <c r="BH243" s="76">
        <f>IF($U$243="sníž. přenesená",$N$243,0)</f>
        <v>0</v>
      </c>
      <c r="BI243" s="76">
        <f>IF($U$243="nulová",$N$243,0)</f>
        <v>0</v>
      </c>
      <c r="BJ243" s="6" t="s">
        <v>16</v>
      </c>
      <c r="BK243" s="76">
        <f>ROUND($L$243*$K$243,2)</f>
        <v>0</v>
      </c>
    </row>
    <row r="244" spans="2:51" s="6" customFormat="1" ht="15.75" customHeight="1">
      <c r="B244" s="124"/>
      <c r="E244" s="125"/>
      <c r="F244" s="211" t="s">
        <v>167</v>
      </c>
      <c r="G244" s="212"/>
      <c r="H244" s="212"/>
      <c r="I244" s="212"/>
      <c r="K244" s="125"/>
      <c r="N244" s="125"/>
      <c r="R244" s="126"/>
      <c r="T244" s="127"/>
      <c r="AA244" s="128"/>
      <c r="AT244" s="125" t="s">
        <v>168</v>
      </c>
      <c r="AU244" s="125" t="s">
        <v>102</v>
      </c>
      <c r="AV244" s="125" t="s">
        <v>16</v>
      </c>
      <c r="AW244" s="125" t="s">
        <v>112</v>
      </c>
      <c r="AX244" s="125" t="s">
        <v>72</v>
      </c>
      <c r="AY244" s="125" t="s">
        <v>161</v>
      </c>
    </row>
    <row r="245" spans="2:51" s="6" customFormat="1" ht="15.75" customHeight="1">
      <c r="B245" s="124"/>
      <c r="E245" s="125"/>
      <c r="F245" s="211" t="s">
        <v>276</v>
      </c>
      <c r="G245" s="212"/>
      <c r="H245" s="212"/>
      <c r="I245" s="212"/>
      <c r="K245" s="125"/>
      <c r="N245" s="125"/>
      <c r="R245" s="126"/>
      <c r="T245" s="127"/>
      <c r="AA245" s="128"/>
      <c r="AT245" s="125" t="s">
        <v>168</v>
      </c>
      <c r="AU245" s="125" t="s">
        <v>102</v>
      </c>
      <c r="AV245" s="125" t="s">
        <v>16</v>
      </c>
      <c r="AW245" s="125" t="s">
        <v>112</v>
      </c>
      <c r="AX245" s="125" t="s">
        <v>72</v>
      </c>
      <c r="AY245" s="125" t="s">
        <v>161</v>
      </c>
    </row>
    <row r="246" spans="2:51" s="6" customFormat="1" ht="15.75" customHeight="1">
      <c r="B246" s="129"/>
      <c r="E246" s="130"/>
      <c r="F246" s="213" t="s">
        <v>290</v>
      </c>
      <c r="G246" s="214"/>
      <c r="H246" s="214"/>
      <c r="I246" s="214"/>
      <c r="K246" s="131">
        <v>3.329</v>
      </c>
      <c r="N246" s="130"/>
      <c r="R246" s="132"/>
      <c r="T246" s="133"/>
      <c r="AA246" s="134"/>
      <c r="AT246" s="130" t="s">
        <v>168</v>
      </c>
      <c r="AU246" s="130" t="s">
        <v>102</v>
      </c>
      <c r="AV246" s="130" t="s">
        <v>102</v>
      </c>
      <c r="AW246" s="130" t="s">
        <v>112</v>
      </c>
      <c r="AX246" s="130" t="s">
        <v>16</v>
      </c>
      <c r="AY246" s="130" t="s">
        <v>161</v>
      </c>
    </row>
    <row r="247" spans="2:63" s="6" customFormat="1" ht="27" customHeight="1">
      <c r="B247" s="20"/>
      <c r="C247" s="117" t="s">
        <v>291</v>
      </c>
      <c r="D247" s="117" t="s">
        <v>162</v>
      </c>
      <c r="E247" s="118" t="s">
        <v>292</v>
      </c>
      <c r="F247" s="204" t="s">
        <v>293</v>
      </c>
      <c r="G247" s="205"/>
      <c r="H247" s="205"/>
      <c r="I247" s="205"/>
      <c r="J247" s="119" t="s">
        <v>174</v>
      </c>
      <c r="K247" s="120">
        <v>0.24</v>
      </c>
      <c r="L247" s="206">
        <v>0</v>
      </c>
      <c r="M247" s="205"/>
      <c r="N247" s="207">
        <f>ROUND($L$247*$K$247,2)</f>
        <v>0</v>
      </c>
      <c r="O247" s="205"/>
      <c r="P247" s="205"/>
      <c r="Q247" s="205"/>
      <c r="R247" s="21"/>
      <c r="T247" s="121"/>
      <c r="U247" s="27" t="s">
        <v>37</v>
      </c>
      <c r="V247" s="122">
        <v>0.624</v>
      </c>
      <c r="W247" s="122">
        <f>$V$247*$K$247</f>
        <v>0.14976</v>
      </c>
      <c r="X247" s="122">
        <v>0.04</v>
      </c>
      <c r="Y247" s="122">
        <f>$X$247*$K$247</f>
        <v>0.0096</v>
      </c>
      <c r="Z247" s="122">
        <v>0</v>
      </c>
      <c r="AA247" s="123">
        <f>$Z$247*$K$247</f>
        <v>0</v>
      </c>
      <c r="AR247" s="6" t="s">
        <v>166</v>
      </c>
      <c r="AT247" s="6" t="s">
        <v>162</v>
      </c>
      <c r="AU247" s="6" t="s">
        <v>102</v>
      </c>
      <c r="AY247" s="6" t="s">
        <v>161</v>
      </c>
      <c r="BE247" s="76">
        <f>IF($U$247="základní",$N$247,0)</f>
        <v>0</v>
      </c>
      <c r="BF247" s="76">
        <f>IF($U$247="snížená",$N$247,0)</f>
        <v>0</v>
      </c>
      <c r="BG247" s="76">
        <f>IF($U$247="zákl. přenesená",$N$247,0)</f>
        <v>0</v>
      </c>
      <c r="BH247" s="76">
        <f>IF($U$247="sníž. přenesená",$N$247,0)</f>
        <v>0</v>
      </c>
      <c r="BI247" s="76">
        <f>IF($U$247="nulová",$N$247,0)</f>
        <v>0</v>
      </c>
      <c r="BJ247" s="6" t="s">
        <v>16</v>
      </c>
      <c r="BK247" s="76">
        <f>ROUND($L$247*$K$247,2)</f>
        <v>0</v>
      </c>
    </row>
    <row r="248" spans="2:51" s="6" customFormat="1" ht="15.75" customHeight="1">
      <c r="B248" s="129"/>
      <c r="E248" s="130"/>
      <c r="F248" s="213" t="s">
        <v>294</v>
      </c>
      <c r="G248" s="214"/>
      <c r="H248" s="214"/>
      <c r="I248" s="214"/>
      <c r="K248" s="131">
        <v>0.24</v>
      </c>
      <c r="N248" s="130"/>
      <c r="R248" s="132"/>
      <c r="T248" s="133"/>
      <c r="AA248" s="134"/>
      <c r="AT248" s="130" t="s">
        <v>168</v>
      </c>
      <c r="AU248" s="130" t="s">
        <v>102</v>
      </c>
      <c r="AV248" s="130" t="s">
        <v>102</v>
      </c>
      <c r="AW248" s="130" t="s">
        <v>112</v>
      </c>
      <c r="AX248" s="130" t="s">
        <v>16</v>
      </c>
      <c r="AY248" s="130" t="s">
        <v>161</v>
      </c>
    </row>
    <row r="249" spans="2:63" s="6" customFormat="1" ht="27" customHeight="1">
      <c r="B249" s="20"/>
      <c r="C249" s="117" t="s">
        <v>295</v>
      </c>
      <c r="D249" s="117" t="s">
        <v>162</v>
      </c>
      <c r="E249" s="118" t="s">
        <v>296</v>
      </c>
      <c r="F249" s="204" t="s">
        <v>297</v>
      </c>
      <c r="G249" s="205"/>
      <c r="H249" s="205"/>
      <c r="I249" s="205"/>
      <c r="J249" s="119" t="s">
        <v>174</v>
      </c>
      <c r="K249" s="120">
        <v>33.808</v>
      </c>
      <c r="L249" s="206">
        <v>0</v>
      </c>
      <c r="M249" s="205"/>
      <c r="N249" s="207">
        <f>ROUND($L$249*$K$249,2)</f>
        <v>0</v>
      </c>
      <c r="O249" s="205"/>
      <c r="P249" s="205"/>
      <c r="Q249" s="205"/>
      <c r="R249" s="21"/>
      <c r="T249" s="121"/>
      <c r="U249" s="27" t="s">
        <v>37</v>
      </c>
      <c r="V249" s="122">
        <v>0.46</v>
      </c>
      <c r="W249" s="122">
        <f>$V$249*$K$249</f>
        <v>15.551680000000001</v>
      </c>
      <c r="X249" s="122">
        <v>0.01733</v>
      </c>
      <c r="Y249" s="122">
        <f>$X$249*$K$249</f>
        <v>0.5858926400000001</v>
      </c>
      <c r="Z249" s="122">
        <v>0</v>
      </c>
      <c r="AA249" s="123">
        <f>$Z$249*$K$249</f>
        <v>0</v>
      </c>
      <c r="AR249" s="6" t="s">
        <v>166</v>
      </c>
      <c r="AT249" s="6" t="s">
        <v>162</v>
      </c>
      <c r="AU249" s="6" t="s">
        <v>102</v>
      </c>
      <c r="AY249" s="6" t="s">
        <v>161</v>
      </c>
      <c r="BE249" s="76">
        <f>IF($U$249="základní",$N$249,0)</f>
        <v>0</v>
      </c>
      <c r="BF249" s="76">
        <f>IF($U$249="snížená",$N$249,0)</f>
        <v>0</v>
      </c>
      <c r="BG249" s="76">
        <f>IF($U$249="zákl. přenesená",$N$249,0)</f>
        <v>0</v>
      </c>
      <c r="BH249" s="76">
        <f>IF($U$249="sníž. přenesená",$N$249,0)</f>
        <v>0</v>
      </c>
      <c r="BI249" s="76">
        <f>IF($U$249="nulová",$N$249,0)</f>
        <v>0</v>
      </c>
      <c r="BJ249" s="6" t="s">
        <v>16</v>
      </c>
      <c r="BK249" s="76">
        <f>ROUND($L$249*$K$249,2)</f>
        <v>0</v>
      </c>
    </row>
    <row r="250" spans="2:51" s="6" customFormat="1" ht="15.75" customHeight="1">
      <c r="B250" s="124"/>
      <c r="E250" s="125"/>
      <c r="F250" s="211" t="s">
        <v>167</v>
      </c>
      <c r="G250" s="212"/>
      <c r="H250" s="212"/>
      <c r="I250" s="212"/>
      <c r="K250" s="125"/>
      <c r="N250" s="125"/>
      <c r="R250" s="126"/>
      <c r="T250" s="127"/>
      <c r="AA250" s="128"/>
      <c r="AT250" s="125" t="s">
        <v>168</v>
      </c>
      <c r="AU250" s="125" t="s">
        <v>102</v>
      </c>
      <c r="AV250" s="125" t="s">
        <v>16</v>
      </c>
      <c r="AW250" s="125" t="s">
        <v>112</v>
      </c>
      <c r="AX250" s="125" t="s">
        <v>72</v>
      </c>
      <c r="AY250" s="125" t="s">
        <v>161</v>
      </c>
    </row>
    <row r="251" spans="2:51" s="6" customFormat="1" ht="15.75" customHeight="1">
      <c r="B251" s="124"/>
      <c r="E251" s="125"/>
      <c r="F251" s="211" t="s">
        <v>210</v>
      </c>
      <c r="G251" s="212"/>
      <c r="H251" s="212"/>
      <c r="I251" s="212"/>
      <c r="K251" s="125"/>
      <c r="N251" s="125"/>
      <c r="R251" s="126"/>
      <c r="T251" s="127"/>
      <c r="AA251" s="128"/>
      <c r="AT251" s="125" t="s">
        <v>168</v>
      </c>
      <c r="AU251" s="125" t="s">
        <v>102</v>
      </c>
      <c r="AV251" s="125" t="s">
        <v>16</v>
      </c>
      <c r="AW251" s="125" t="s">
        <v>112</v>
      </c>
      <c r="AX251" s="125" t="s">
        <v>72</v>
      </c>
      <c r="AY251" s="125" t="s">
        <v>161</v>
      </c>
    </row>
    <row r="252" spans="2:51" s="6" customFormat="1" ht="15.75" customHeight="1">
      <c r="B252" s="129"/>
      <c r="E252" s="130"/>
      <c r="F252" s="213" t="s">
        <v>280</v>
      </c>
      <c r="G252" s="214"/>
      <c r="H252" s="214"/>
      <c r="I252" s="214"/>
      <c r="K252" s="131">
        <v>6.99</v>
      </c>
      <c r="N252" s="130"/>
      <c r="R252" s="132"/>
      <c r="T252" s="133"/>
      <c r="AA252" s="134"/>
      <c r="AT252" s="130" t="s">
        <v>168</v>
      </c>
      <c r="AU252" s="130" t="s">
        <v>102</v>
      </c>
      <c r="AV252" s="130" t="s">
        <v>102</v>
      </c>
      <c r="AW252" s="130" t="s">
        <v>112</v>
      </c>
      <c r="AX252" s="130" t="s">
        <v>72</v>
      </c>
      <c r="AY252" s="130" t="s">
        <v>161</v>
      </c>
    </row>
    <row r="253" spans="2:51" s="6" customFormat="1" ht="15.75" customHeight="1">
      <c r="B253" s="129"/>
      <c r="E253" s="130"/>
      <c r="F253" s="213" t="s">
        <v>281</v>
      </c>
      <c r="G253" s="214"/>
      <c r="H253" s="214"/>
      <c r="I253" s="214"/>
      <c r="K253" s="131">
        <v>21.666</v>
      </c>
      <c r="N253" s="130"/>
      <c r="R253" s="132"/>
      <c r="T253" s="133"/>
      <c r="AA253" s="134"/>
      <c r="AT253" s="130" t="s">
        <v>168</v>
      </c>
      <c r="AU253" s="130" t="s">
        <v>102</v>
      </c>
      <c r="AV253" s="130" t="s">
        <v>102</v>
      </c>
      <c r="AW253" s="130" t="s">
        <v>112</v>
      </c>
      <c r="AX253" s="130" t="s">
        <v>72</v>
      </c>
      <c r="AY253" s="130" t="s">
        <v>161</v>
      </c>
    </row>
    <row r="254" spans="2:51" s="6" customFormat="1" ht="15.75" customHeight="1">
      <c r="B254" s="129"/>
      <c r="E254" s="130"/>
      <c r="F254" s="213" t="s">
        <v>282</v>
      </c>
      <c r="G254" s="214"/>
      <c r="H254" s="214"/>
      <c r="I254" s="214"/>
      <c r="K254" s="131">
        <v>5.152</v>
      </c>
      <c r="N254" s="130"/>
      <c r="R254" s="132"/>
      <c r="T254" s="133"/>
      <c r="AA254" s="134"/>
      <c r="AT254" s="130" t="s">
        <v>168</v>
      </c>
      <c r="AU254" s="130" t="s">
        <v>102</v>
      </c>
      <c r="AV254" s="130" t="s">
        <v>102</v>
      </c>
      <c r="AW254" s="130" t="s">
        <v>112</v>
      </c>
      <c r="AX254" s="130" t="s">
        <v>72</v>
      </c>
      <c r="AY254" s="130" t="s">
        <v>161</v>
      </c>
    </row>
    <row r="255" spans="2:51" s="6" customFormat="1" ht="15.75" customHeight="1">
      <c r="B255" s="135"/>
      <c r="E255" s="136"/>
      <c r="F255" s="215" t="s">
        <v>171</v>
      </c>
      <c r="G255" s="216"/>
      <c r="H255" s="216"/>
      <c r="I255" s="216"/>
      <c r="K255" s="137">
        <v>33.808</v>
      </c>
      <c r="N255" s="136"/>
      <c r="R255" s="138"/>
      <c r="T255" s="139"/>
      <c r="AA255" s="140"/>
      <c r="AT255" s="136" t="s">
        <v>168</v>
      </c>
      <c r="AU255" s="136" t="s">
        <v>102</v>
      </c>
      <c r="AV255" s="136" t="s">
        <v>166</v>
      </c>
      <c r="AW255" s="136" t="s">
        <v>112</v>
      </c>
      <c r="AX255" s="136" t="s">
        <v>16</v>
      </c>
      <c r="AY255" s="136" t="s">
        <v>161</v>
      </c>
    </row>
    <row r="256" spans="2:63" s="6" customFormat="1" ht="27" customHeight="1">
      <c r="B256" s="20"/>
      <c r="C256" s="117" t="s">
        <v>298</v>
      </c>
      <c r="D256" s="117" t="s">
        <v>162</v>
      </c>
      <c r="E256" s="118" t="s">
        <v>299</v>
      </c>
      <c r="F256" s="204" t="s">
        <v>300</v>
      </c>
      <c r="G256" s="205"/>
      <c r="H256" s="205"/>
      <c r="I256" s="205"/>
      <c r="J256" s="119" t="s">
        <v>174</v>
      </c>
      <c r="K256" s="120">
        <v>33.808</v>
      </c>
      <c r="L256" s="206">
        <v>0</v>
      </c>
      <c r="M256" s="205"/>
      <c r="N256" s="207">
        <f>ROUND($L$256*$K$256,2)</f>
        <v>0</v>
      </c>
      <c r="O256" s="205"/>
      <c r="P256" s="205"/>
      <c r="Q256" s="205"/>
      <c r="R256" s="21"/>
      <c r="T256" s="121"/>
      <c r="U256" s="27" t="s">
        <v>37</v>
      </c>
      <c r="V256" s="122">
        <v>0.085</v>
      </c>
      <c r="W256" s="122">
        <f>$V$256*$K$256</f>
        <v>2.8736800000000002</v>
      </c>
      <c r="X256" s="122">
        <v>0.00735</v>
      </c>
      <c r="Y256" s="122">
        <f>$X$256*$K$256</f>
        <v>0.24848879999999998</v>
      </c>
      <c r="Z256" s="122">
        <v>0</v>
      </c>
      <c r="AA256" s="123">
        <f>$Z$256*$K$256</f>
        <v>0</v>
      </c>
      <c r="AR256" s="6" t="s">
        <v>166</v>
      </c>
      <c r="AT256" s="6" t="s">
        <v>162</v>
      </c>
      <c r="AU256" s="6" t="s">
        <v>102</v>
      </c>
      <c r="AY256" s="6" t="s">
        <v>161</v>
      </c>
      <c r="BE256" s="76">
        <f>IF($U$256="základní",$N$256,0)</f>
        <v>0</v>
      </c>
      <c r="BF256" s="76">
        <f>IF($U$256="snížená",$N$256,0)</f>
        <v>0</v>
      </c>
      <c r="BG256" s="76">
        <f>IF($U$256="zákl. přenesená",$N$256,0)</f>
        <v>0</v>
      </c>
      <c r="BH256" s="76">
        <f>IF($U$256="sníž. přenesená",$N$256,0)</f>
        <v>0</v>
      </c>
      <c r="BI256" s="76">
        <f>IF($U$256="nulová",$N$256,0)</f>
        <v>0</v>
      </c>
      <c r="BJ256" s="6" t="s">
        <v>16</v>
      </c>
      <c r="BK256" s="76">
        <f>ROUND($L$256*$K$256,2)</f>
        <v>0</v>
      </c>
    </row>
    <row r="257" spans="2:51" s="6" customFormat="1" ht="15.75" customHeight="1">
      <c r="B257" s="124"/>
      <c r="E257" s="125"/>
      <c r="F257" s="211" t="s">
        <v>210</v>
      </c>
      <c r="G257" s="212"/>
      <c r="H257" s="212"/>
      <c r="I257" s="212"/>
      <c r="K257" s="125"/>
      <c r="N257" s="125"/>
      <c r="R257" s="126"/>
      <c r="T257" s="127"/>
      <c r="AA257" s="128"/>
      <c r="AT257" s="125" t="s">
        <v>168</v>
      </c>
      <c r="AU257" s="125" t="s">
        <v>102</v>
      </c>
      <c r="AV257" s="125" t="s">
        <v>16</v>
      </c>
      <c r="AW257" s="125" t="s">
        <v>112</v>
      </c>
      <c r="AX257" s="125" t="s">
        <v>72</v>
      </c>
      <c r="AY257" s="125" t="s">
        <v>161</v>
      </c>
    </row>
    <row r="258" spans="2:51" s="6" customFormat="1" ht="15.75" customHeight="1">
      <c r="B258" s="129"/>
      <c r="E258" s="130"/>
      <c r="F258" s="213" t="s">
        <v>280</v>
      </c>
      <c r="G258" s="214"/>
      <c r="H258" s="214"/>
      <c r="I258" s="214"/>
      <c r="K258" s="131">
        <v>6.99</v>
      </c>
      <c r="N258" s="130"/>
      <c r="R258" s="132"/>
      <c r="T258" s="133"/>
      <c r="AA258" s="134"/>
      <c r="AT258" s="130" t="s">
        <v>168</v>
      </c>
      <c r="AU258" s="130" t="s">
        <v>102</v>
      </c>
      <c r="AV258" s="130" t="s">
        <v>102</v>
      </c>
      <c r="AW258" s="130" t="s">
        <v>112</v>
      </c>
      <c r="AX258" s="130" t="s">
        <v>72</v>
      </c>
      <c r="AY258" s="130" t="s">
        <v>161</v>
      </c>
    </row>
    <row r="259" spans="2:51" s="6" customFormat="1" ht="15.75" customHeight="1">
      <c r="B259" s="129"/>
      <c r="E259" s="130"/>
      <c r="F259" s="213" t="s">
        <v>281</v>
      </c>
      <c r="G259" s="214"/>
      <c r="H259" s="214"/>
      <c r="I259" s="214"/>
      <c r="K259" s="131">
        <v>21.666</v>
      </c>
      <c r="N259" s="130"/>
      <c r="R259" s="132"/>
      <c r="T259" s="133"/>
      <c r="AA259" s="134"/>
      <c r="AT259" s="130" t="s">
        <v>168</v>
      </c>
      <c r="AU259" s="130" t="s">
        <v>102</v>
      </c>
      <c r="AV259" s="130" t="s">
        <v>102</v>
      </c>
      <c r="AW259" s="130" t="s">
        <v>112</v>
      </c>
      <c r="AX259" s="130" t="s">
        <v>72</v>
      </c>
      <c r="AY259" s="130" t="s">
        <v>161</v>
      </c>
    </row>
    <row r="260" spans="2:51" s="6" customFormat="1" ht="15.75" customHeight="1">
      <c r="B260" s="129"/>
      <c r="E260" s="130"/>
      <c r="F260" s="213" t="s">
        <v>282</v>
      </c>
      <c r="G260" s="214"/>
      <c r="H260" s="214"/>
      <c r="I260" s="214"/>
      <c r="K260" s="131">
        <v>5.152</v>
      </c>
      <c r="N260" s="130"/>
      <c r="R260" s="132"/>
      <c r="T260" s="133"/>
      <c r="AA260" s="134"/>
      <c r="AT260" s="130" t="s">
        <v>168</v>
      </c>
      <c r="AU260" s="130" t="s">
        <v>102</v>
      </c>
      <c r="AV260" s="130" t="s">
        <v>102</v>
      </c>
      <c r="AW260" s="130" t="s">
        <v>112</v>
      </c>
      <c r="AX260" s="130" t="s">
        <v>72</v>
      </c>
      <c r="AY260" s="130" t="s">
        <v>161</v>
      </c>
    </row>
    <row r="261" spans="2:51" s="6" customFormat="1" ht="15.75" customHeight="1">
      <c r="B261" s="135"/>
      <c r="E261" s="136"/>
      <c r="F261" s="215" t="s">
        <v>171</v>
      </c>
      <c r="G261" s="216"/>
      <c r="H261" s="216"/>
      <c r="I261" s="216"/>
      <c r="K261" s="137">
        <v>33.808</v>
      </c>
      <c r="N261" s="136"/>
      <c r="R261" s="138"/>
      <c r="T261" s="139"/>
      <c r="AA261" s="140"/>
      <c r="AT261" s="136" t="s">
        <v>168</v>
      </c>
      <c r="AU261" s="136" t="s">
        <v>102</v>
      </c>
      <c r="AV261" s="136" t="s">
        <v>166</v>
      </c>
      <c r="AW261" s="136" t="s">
        <v>112</v>
      </c>
      <c r="AX261" s="136" t="s">
        <v>16</v>
      </c>
      <c r="AY261" s="136" t="s">
        <v>161</v>
      </c>
    </row>
    <row r="262" spans="2:63" s="6" customFormat="1" ht="27" customHeight="1">
      <c r="B262" s="20"/>
      <c r="C262" s="117" t="s">
        <v>301</v>
      </c>
      <c r="D262" s="117" t="s">
        <v>162</v>
      </c>
      <c r="E262" s="118" t="s">
        <v>302</v>
      </c>
      <c r="F262" s="204" t="s">
        <v>303</v>
      </c>
      <c r="G262" s="205"/>
      <c r="H262" s="205"/>
      <c r="I262" s="205"/>
      <c r="J262" s="119" t="s">
        <v>174</v>
      </c>
      <c r="K262" s="120">
        <v>7.515</v>
      </c>
      <c r="L262" s="206">
        <v>0</v>
      </c>
      <c r="M262" s="205"/>
      <c r="N262" s="207">
        <f>ROUND($L$262*$K$262,2)</f>
        <v>0</v>
      </c>
      <c r="O262" s="205"/>
      <c r="P262" s="205"/>
      <c r="Q262" s="205"/>
      <c r="R262" s="21"/>
      <c r="T262" s="121"/>
      <c r="U262" s="27" t="s">
        <v>37</v>
      </c>
      <c r="V262" s="122">
        <v>0.47</v>
      </c>
      <c r="W262" s="122">
        <f>$V$262*$K$262</f>
        <v>3.5320499999999995</v>
      </c>
      <c r="X262" s="122">
        <v>0.01838</v>
      </c>
      <c r="Y262" s="122">
        <f>$X$262*$K$262</f>
        <v>0.1381257</v>
      </c>
      <c r="Z262" s="122">
        <v>0</v>
      </c>
      <c r="AA262" s="123">
        <f>$Z$262*$K$262</f>
        <v>0</v>
      </c>
      <c r="AR262" s="6" t="s">
        <v>166</v>
      </c>
      <c r="AT262" s="6" t="s">
        <v>162</v>
      </c>
      <c r="AU262" s="6" t="s">
        <v>102</v>
      </c>
      <c r="AY262" s="6" t="s">
        <v>161</v>
      </c>
      <c r="BE262" s="76">
        <f>IF($U$262="základní",$N$262,0)</f>
        <v>0</v>
      </c>
      <c r="BF262" s="76">
        <f>IF($U$262="snížená",$N$262,0)</f>
        <v>0</v>
      </c>
      <c r="BG262" s="76">
        <f>IF($U$262="zákl. přenesená",$N$262,0)</f>
        <v>0</v>
      </c>
      <c r="BH262" s="76">
        <f>IF($U$262="sníž. přenesená",$N$262,0)</f>
        <v>0</v>
      </c>
      <c r="BI262" s="76">
        <f>IF($U$262="nulová",$N$262,0)</f>
        <v>0</v>
      </c>
      <c r="BJ262" s="6" t="s">
        <v>16</v>
      </c>
      <c r="BK262" s="76">
        <f>ROUND($L$262*$K$262,2)</f>
        <v>0</v>
      </c>
    </row>
    <row r="263" spans="2:51" s="6" customFormat="1" ht="15.75" customHeight="1">
      <c r="B263" s="124"/>
      <c r="E263" s="125"/>
      <c r="F263" s="211" t="s">
        <v>219</v>
      </c>
      <c r="G263" s="212"/>
      <c r="H263" s="212"/>
      <c r="I263" s="212"/>
      <c r="K263" s="125"/>
      <c r="N263" s="125"/>
      <c r="R263" s="126"/>
      <c r="T263" s="127"/>
      <c r="AA263" s="128"/>
      <c r="AT263" s="125" t="s">
        <v>168</v>
      </c>
      <c r="AU263" s="125" t="s">
        <v>102</v>
      </c>
      <c r="AV263" s="125" t="s">
        <v>16</v>
      </c>
      <c r="AW263" s="125" t="s">
        <v>112</v>
      </c>
      <c r="AX263" s="125" t="s">
        <v>72</v>
      </c>
      <c r="AY263" s="125" t="s">
        <v>161</v>
      </c>
    </row>
    <row r="264" spans="2:51" s="6" customFormat="1" ht="15.75" customHeight="1">
      <c r="B264" s="129"/>
      <c r="E264" s="130"/>
      <c r="F264" s="213" t="s">
        <v>220</v>
      </c>
      <c r="G264" s="214"/>
      <c r="H264" s="214"/>
      <c r="I264" s="214"/>
      <c r="K264" s="131">
        <v>7.515</v>
      </c>
      <c r="N264" s="130"/>
      <c r="R264" s="132"/>
      <c r="T264" s="133"/>
      <c r="AA264" s="134"/>
      <c r="AT264" s="130" t="s">
        <v>168</v>
      </c>
      <c r="AU264" s="130" t="s">
        <v>102</v>
      </c>
      <c r="AV264" s="130" t="s">
        <v>102</v>
      </c>
      <c r="AW264" s="130" t="s">
        <v>112</v>
      </c>
      <c r="AX264" s="130" t="s">
        <v>72</v>
      </c>
      <c r="AY264" s="130" t="s">
        <v>161</v>
      </c>
    </row>
    <row r="265" spans="2:51" s="6" customFormat="1" ht="15.75" customHeight="1">
      <c r="B265" s="135"/>
      <c r="E265" s="136"/>
      <c r="F265" s="215" t="s">
        <v>171</v>
      </c>
      <c r="G265" s="216"/>
      <c r="H265" s="216"/>
      <c r="I265" s="216"/>
      <c r="K265" s="137">
        <v>7.515</v>
      </c>
      <c r="N265" s="136"/>
      <c r="R265" s="138"/>
      <c r="T265" s="139"/>
      <c r="AA265" s="140"/>
      <c r="AT265" s="136" t="s">
        <v>168</v>
      </c>
      <c r="AU265" s="136" t="s">
        <v>102</v>
      </c>
      <c r="AV265" s="136" t="s">
        <v>166</v>
      </c>
      <c r="AW265" s="136" t="s">
        <v>112</v>
      </c>
      <c r="AX265" s="136" t="s">
        <v>16</v>
      </c>
      <c r="AY265" s="136" t="s">
        <v>161</v>
      </c>
    </row>
    <row r="266" spans="2:63" s="6" customFormat="1" ht="27" customHeight="1">
      <c r="B266" s="20"/>
      <c r="C266" s="117" t="s">
        <v>304</v>
      </c>
      <c r="D266" s="117" t="s">
        <v>162</v>
      </c>
      <c r="E266" s="118" t="s">
        <v>305</v>
      </c>
      <c r="F266" s="204" t="s">
        <v>306</v>
      </c>
      <c r="G266" s="205"/>
      <c r="H266" s="205"/>
      <c r="I266" s="205"/>
      <c r="J266" s="119" t="s">
        <v>249</v>
      </c>
      <c r="K266" s="120">
        <v>15</v>
      </c>
      <c r="L266" s="206">
        <v>0</v>
      </c>
      <c r="M266" s="205"/>
      <c r="N266" s="207">
        <f>ROUND($L$266*$K$266,2)</f>
        <v>0</v>
      </c>
      <c r="O266" s="205"/>
      <c r="P266" s="205"/>
      <c r="Q266" s="205"/>
      <c r="R266" s="21"/>
      <c r="T266" s="121"/>
      <c r="U266" s="27" t="s">
        <v>37</v>
      </c>
      <c r="V266" s="122">
        <v>0.725</v>
      </c>
      <c r="W266" s="122">
        <f>$V$266*$K$266</f>
        <v>10.875</v>
      </c>
      <c r="X266" s="122">
        <v>0.0415</v>
      </c>
      <c r="Y266" s="122">
        <f>$X$266*$K$266</f>
        <v>0.6225</v>
      </c>
      <c r="Z266" s="122">
        <v>0</v>
      </c>
      <c r="AA266" s="123">
        <f>$Z$266*$K$266</f>
        <v>0</v>
      </c>
      <c r="AR266" s="6" t="s">
        <v>166</v>
      </c>
      <c r="AT266" s="6" t="s">
        <v>162</v>
      </c>
      <c r="AU266" s="6" t="s">
        <v>102</v>
      </c>
      <c r="AY266" s="6" t="s">
        <v>161</v>
      </c>
      <c r="BE266" s="76">
        <f>IF($U$266="základní",$N$266,0)</f>
        <v>0</v>
      </c>
      <c r="BF266" s="76">
        <f>IF($U$266="snížená",$N$266,0)</f>
        <v>0</v>
      </c>
      <c r="BG266" s="76">
        <f>IF($U$266="zákl. přenesená",$N$266,0)</f>
        <v>0</v>
      </c>
      <c r="BH266" s="76">
        <f>IF($U$266="sníž. přenesená",$N$266,0)</f>
        <v>0</v>
      </c>
      <c r="BI266" s="76">
        <f>IF($U$266="nulová",$N$266,0)</f>
        <v>0</v>
      </c>
      <c r="BJ266" s="6" t="s">
        <v>16</v>
      </c>
      <c r="BK266" s="76">
        <f>ROUND($L$266*$K$266,2)</f>
        <v>0</v>
      </c>
    </row>
    <row r="267" spans="2:51" s="6" customFormat="1" ht="15.75" customHeight="1">
      <c r="B267" s="124"/>
      <c r="E267" s="125"/>
      <c r="F267" s="211" t="s">
        <v>276</v>
      </c>
      <c r="G267" s="212"/>
      <c r="H267" s="212"/>
      <c r="I267" s="212"/>
      <c r="K267" s="125"/>
      <c r="N267" s="125"/>
      <c r="R267" s="126"/>
      <c r="T267" s="127"/>
      <c r="AA267" s="128"/>
      <c r="AT267" s="125" t="s">
        <v>168</v>
      </c>
      <c r="AU267" s="125" t="s">
        <v>102</v>
      </c>
      <c r="AV267" s="125" t="s">
        <v>16</v>
      </c>
      <c r="AW267" s="125" t="s">
        <v>112</v>
      </c>
      <c r="AX267" s="125" t="s">
        <v>72</v>
      </c>
      <c r="AY267" s="125" t="s">
        <v>161</v>
      </c>
    </row>
    <row r="268" spans="2:51" s="6" customFormat="1" ht="15.75" customHeight="1">
      <c r="B268" s="129"/>
      <c r="E268" s="130"/>
      <c r="F268" s="213" t="s">
        <v>8</v>
      </c>
      <c r="G268" s="214"/>
      <c r="H268" s="214"/>
      <c r="I268" s="214"/>
      <c r="K268" s="131">
        <v>15</v>
      </c>
      <c r="N268" s="130"/>
      <c r="R268" s="132"/>
      <c r="T268" s="133"/>
      <c r="AA268" s="134"/>
      <c r="AT268" s="130" t="s">
        <v>168</v>
      </c>
      <c r="AU268" s="130" t="s">
        <v>102</v>
      </c>
      <c r="AV268" s="130" t="s">
        <v>102</v>
      </c>
      <c r="AW268" s="130" t="s">
        <v>112</v>
      </c>
      <c r="AX268" s="130" t="s">
        <v>16</v>
      </c>
      <c r="AY268" s="130" t="s">
        <v>161</v>
      </c>
    </row>
    <row r="269" spans="2:63" s="6" customFormat="1" ht="27" customHeight="1">
      <c r="B269" s="20"/>
      <c r="C269" s="117" t="s">
        <v>307</v>
      </c>
      <c r="D269" s="117" t="s">
        <v>162</v>
      </c>
      <c r="E269" s="118" t="s">
        <v>308</v>
      </c>
      <c r="F269" s="204" t="s">
        <v>309</v>
      </c>
      <c r="G269" s="205"/>
      <c r="H269" s="205"/>
      <c r="I269" s="205"/>
      <c r="J269" s="119" t="s">
        <v>174</v>
      </c>
      <c r="K269" s="120">
        <v>16</v>
      </c>
      <c r="L269" s="206">
        <v>0</v>
      </c>
      <c r="M269" s="205"/>
      <c r="N269" s="207">
        <f>ROUND($L$269*$K$269,2)</f>
        <v>0</v>
      </c>
      <c r="O269" s="205"/>
      <c r="P269" s="205"/>
      <c r="Q269" s="205"/>
      <c r="R269" s="21"/>
      <c r="T269" s="121"/>
      <c r="U269" s="27" t="s">
        <v>37</v>
      </c>
      <c r="V269" s="122">
        <v>0.69</v>
      </c>
      <c r="W269" s="122">
        <f>$V$269*$K$269</f>
        <v>11.04</v>
      </c>
      <c r="X269" s="122">
        <v>0.0345</v>
      </c>
      <c r="Y269" s="122">
        <f>$X$269*$K$269</f>
        <v>0.552</v>
      </c>
      <c r="Z269" s="122">
        <v>0</v>
      </c>
      <c r="AA269" s="123">
        <f>$Z$269*$K$269</f>
        <v>0</v>
      </c>
      <c r="AR269" s="6" t="s">
        <v>166</v>
      </c>
      <c r="AT269" s="6" t="s">
        <v>162</v>
      </c>
      <c r="AU269" s="6" t="s">
        <v>102</v>
      </c>
      <c r="AY269" s="6" t="s">
        <v>161</v>
      </c>
      <c r="BE269" s="76">
        <f>IF($U$269="základní",$N$269,0)</f>
        <v>0</v>
      </c>
      <c r="BF269" s="76">
        <f>IF($U$269="snížená",$N$269,0)</f>
        <v>0</v>
      </c>
      <c r="BG269" s="76">
        <f>IF($U$269="zákl. přenesená",$N$269,0)</f>
        <v>0</v>
      </c>
      <c r="BH269" s="76">
        <f>IF($U$269="sníž. přenesená",$N$269,0)</f>
        <v>0</v>
      </c>
      <c r="BI269" s="76">
        <f>IF($U$269="nulová",$N$269,0)</f>
        <v>0</v>
      </c>
      <c r="BJ269" s="6" t="s">
        <v>16</v>
      </c>
      <c r="BK269" s="76">
        <f>ROUND($L$269*$K$269,2)</f>
        <v>0</v>
      </c>
    </row>
    <row r="270" spans="2:51" s="6" customFormat="1" ht="15.75" customHeight="1">
      <c r="B270" s="124"/>
      <c r="E270" s="125"/>
      <c r="F270" s="211" t="s">
        <v>310</v>
      </c>
      <c r="G270" s="212"/>
      <c r="H270" s="212"/>
      <c r="I270" s="212"/>
      <c r="K270" s="125"/>
      <c r="N270" s="125"/>
      <c r="R270" s="126"/>
      <c r="T270" s="127"/>
      <c r="AA270" s="128"/>
      <c r="AT270" s="125" t="s">
        <v>168</v>
      </c>
      <c r="AU270" s="125" t="s">
        <v>102</v>
      </c>
      <c r="AV270" s="125" t="s">
        <v>16</v>
      </c>
      <c r="AW270" s="125" t="s">
        <v>112</v>
      </c>
      <c r="AX270" s="125" t="s">
        <v>72</v>
      </c>
      <c r="AY270" s="125" t="s">
        <v>161</v>
      </c>
    </row>
    <row r="271" spans="2:51" s="6" customFormat="1" ht="15.75" customHeight="1">
      <c r="B271" s="129"/>
      <c r="E271" s="130"/>
      <c r="F271" s="213" t="s">
        <v>311</v>
      </c>
      <c r="G271" s="214"/>
      <c r="H271" s="214"/>
      <c r="I271" s="214"/>
      <c r="K271" s="131">
        <v>16</v>
      </c>
      <c r="N271" s="130"/>
      <c r="R271" s="132"/>
      <c r="T271" s="133"/>
      <c r="AA271" s="134"/>
      <c r="AT271" s="130" t="s">
        <v>168</v>
      </c>
      <c r="AU271" s="130" t="s">
        <v>102</v>
      </c>
      <c r="AV271" s="130" t="s">
        <v>102</v>
      </c>
      <c r="AW271" s="130" t="s">
        <v>112</v>
      </c>
      <c r="AX271" s="130" t="s">
        <v>72</v>
      </c>
      <c r="AY271" s="130" t="s">
        <v>161</v>
      </c>
    </row>
    <row r="272" spans="2:51" s="6" customFormat="1" ht="15.75" customHeight="1">
      <c r="B272" s="135"/>
      <c r="E272" s="136"/>
      <c r="F272" s="215" t="s">
        <v>171</v>
      </c>
      <c r="G272" s="216"/>
      <c r="H272" s="216"/>
      <c r="I272" s="216"/>
      <c r="K272" s="137">
        <v>16</v>
      </c>
      <c r="N272" s="136"/>
      <c r="R272" s="138"/>
      <c r="T272" s="139"/>
      <c r="AA272" s="140"/>
      <c r="AT272" s="136" t="s">
        <v>168</v>
      </c>
      <c r="AU272" s="136" t="s">
        <v>102</v>
      </c>
      <c r="AV272" s="136" t="s">
        <v>166</v>
      </c>
      <c r="AW272" s="136" t="s">
        <v>112</v>
      </c>
      <c r="AX272" s="136" t="s">
        <v>16</v>
      </c>
      <c r="AY272" s="136" t="s">
        <v>161</v>
      </c>
    </row>
    <row r="273" spans="2:63" s="6" customFormat="1" ht="27" customHeight="1">
      <c r="B273" s="20"/>
      <c r="C273" s="117" t="s">
        <v>312</v>
      </c>
      <c r="D273" s="117" t="s">
        <v>162</v>
      </c>
      <c r="E273" s="118" t="s">
        <v>313</v>
      </c>
      <c r="F273" s="204" t="s">
        <v>314</v>
      </c>
      <c r="G273" s="205"/>
      <c r="H273" s="205"/>
      <c r="I273" s="205"/>
      <c r="J273" s="119" t="s">
        <v>174</v>
      </c>
      <c r="K273" s="120">
        <v>16</v>
      </c>
      <c r="L273" s="206">
        <v>0</v>
      </c>
      <c r="M273" s="205"/>
      <c r="N273" s="207">
        <f>ROUND($L$273*$K$273,2)</f>
        <v>0</v>
      </c>
      <c r="O273" s="205"/>
      <c r="P273" s="205"/>
      <c r="Q273" s="205"/>
      <c r="R273" s="21"/>
      <c r="T273" s="121"/>
      <c r="U273" s="27" t="s">
        <v>37</v>
      </c>
      <c r="V273" s="122">
        <v>0.452</v>
      </c>
      <c r="W273" s="122">
        <f>$V$273*$K$273</f>
        <v>7.232</v>
      </c>
      <c r="X273" s="122">
        <v>0.016</v>
      </c>
      <c r="Y273" s="122">
        <f>$X$273*$K$273</f>
        <v>0.256</v>
      </c>
      <c r="Z273" s="122">
        <v>0</v>
      </c>
      <c r="AA273" s="123">
        <f>$Z$273*$K$273</f>
        <v>0</v>
      </c>
      <c r="AR273" s="6" t="s">
        <v>166</v>
      </c>
      <c r="AT273" s="6" t="s">
        <v>162</v>
      </c>
      <c r="AU273" s="6" t="s">
        <v>102</v>
      </c>
      <c r="AY273" s="6" t="s">
        <v>161</v>
      </c>
      <c r="BE273" s="76">
        <f>IF($U$273="základní",$N$273,0)</f>
        <v>0</v>
      </c>
      <c r="BF273" s="76">
        <f>IF($U$273="snížená",$N$273,0)</f>
        <v>0</v>
      </c>
      <c r="BG273" s="76">
        <f>IF($U$273="zákl. přenesená",$N$273,0)</f>
        <v>0</v>
      </c>
      <c r="BH273" s="76">
        <f>IF($U$273="sníž. přenesená",$N$273,0)</f>
        <v>0</v>
      </c>
      <c r="BI273" s="76">
        <f>IF($U$273="nulová",$N$273,0)</f>
        <v>0</v>
      </c>
      <c r="BJ273" s="6" t="s">
        <v>16</v>
      </c>
      <c r="BK273" s="76">
        <f>ROUND($L$273*$K$273,2)</f>
        <v>0</v>
      </c>
    </row>
    <row r="274" spans="2:63" s="6" customFormat="1" ht="27" customHeight="1">
      <c r="B274" s="20"/>
      <c r="C274" s="117" t="s">
        <v>315</v>
      </c>
      <c r="D274" s="117" t="s">
        <v>162</v>
      </c>
      <c r="E274" s="118" t="s">
        <v>316</v>
      </c>
      <c r="F274" s="204" t="s">
        <v>317</v>
      </c>
      <c r="G274" s="205"/>
      <c r="H274" s="205"/>
      <c r="I274" s="205"/>
      <c r="J274" s="119" t="s">
        <v>174</v>
      </c>
      <c r="K274" s="120">
        <v>17.976</v>
      </c>
      <c r="L274" s="206">
        <v>0</v>
      </c>
      <c r="M274" s="205"/>
      <c r="N274" s="207">
        <f>ROUND($L$274*$K$274,2)</f>
        <v>0</v>
      </c>
      <c r="O274" s="205"/>
      <c r="P274" s="205"/>
      <c r="Q274" s="205"/>
      <c r="R274" s="21"/>
      <c r="T274" s="121"/>
      <c r="U274" s="27" t="s">
        <v>37</v>
      </c>
      <c r="V274" s="122">
        <v>0.44</v>
      </c>
      <c r="W274" s="122">
        <f>$V$274*$K$274</f>
        <v>7.90944</v>
      </c>
      <c r="X274" s="122">
        <v>0.0147</v>
      </c>
      <c r="Y274" s="122">
        <f>$X$274*$K$274</f>
        <v>0.26424719999999996</v>
      </c>
      <c r="Z274" s="122">
        <v>0</v>
      </c>
      <c r="AA274" s="123">
        <f>$Z$274*$K$274</f>
        <v>0</v>
      </c>
      <c r="AR274" s="6" t="s">
        <v>166</v>
      </c>
      <c r="AT274" s="6" t="s">
        <v>162</v>
      </c>
      <c r="AU274" s="6" t="s">
        <v>102</v>
      </c>
      <c r="AY274" s="6" t="s">
        <v>161</v>
      </c>
      <c r="BE274" s="76">
        <f>IF($U$274="základní",$N$274,0)</f>
        <v>0</v>
      </c>
      <c r="BF274" s="76">
        <f>IF($U$274="snížená",$N$274,0)</f>
        <v>0</v>
      </c>
      <c r="BG274" s="76">
        <f>IF($U$274="zákl. přenesená",$N$274,0)</f>
        <v>0</v>
      </c>
      <c r="BH274" s="76">
        <f>IF($U$274="sníž. přenesená",$N$274,0)</f>
        <v>0</v>
      </c>
      <c r="BI274" s="76">
        <f>IF($U$274="nulová",$N$274,0)</f>
        <v>0</v>
      </c>
      <c r="BJ274" s="6" t="s">
        <v>16</v>
      </c>
      <c r="BK274" s="76">
        <f>ROUND($L$274*$K$274,2)</f>
        <v>0</v>
      </c>
    </row>
    <row r="275" spans="2:51" s="6" customFormat="1" ht="15.75" customHeight="1">
      <c r="B275" s="124"/>
      <c r="E275" s="125"/>
      <c r="F275" s="211" t="s">
        <v>167</v>
      </c>
      <c r="G275" s="212"/>
      <c r="H275" s="212"/>
      <c r="I275" s="212"/>
      <c r="K275" s="125"/>
      <c r="N275" s="125"/>
      <c r="R275" s="126"/>
      <c r="T275" s="127"/>
      <c r="AA275" s="128"/>
      <c r="AT275" s="125" t="s">
        <v>168</v>
      </c>
      <c r="AU275" s="125" t="s">
        <v>102</v>
      </c>
      <c r="AV275" s="125" t="s">
        <v>16</v>
      </c>
      <c r="AW275" s="125" t="s">
        <v>112</v>
      </c>
      <c r="AX275" s="125" t="s">
        <v>72</v>
      </c>
      <c r="AY275" s="125" t="s">
        <v>161</v>
      </c>
    </row>
    <row r="276" spans="2:51" s="6" customFormat="1" ht="15.75" customHeight="1">
      <c r="B276" s="124"/>
      <c r="E276" s="125"/>
      <c r="F276" s="211" t="s">
        <v>215</v>
      </c>
      <c r="G276" s="212"/>
      <c r="H276" s="212"/>
      <c r="I276" s="212"/>
      <c r="K276" s="125"/>
      <c r="N276" s="125"/>
      <c r="R276" s="126"/>
      <c r="T276" s="127"/>
      <c r="AA276" s="128"/>
      <c r="AT276" s="125" t="s">
        <v>168</v>
      </c>
      <c r="AU276" s="125" t="s">
        <v>102</v>
      </c>
      <c r="AV276" s="125" t="s">
        <v>16</v>
      </c>
      <c r="AW276" s="125" t="s">
        <v>112</v>
      </c>
      <c r="AX276" s="125" t="s">
        <v>72</v>
      </c>
      <c r="AY276" s="125" t="s">
        <v>161</v>
      </c>
    </row>
    <row r="277" spans="2:51" s="6" customFormat="1" ht="15.75" customHeight="1">
      <c r="B277" s="129"/>
      <c r="E277" s="130"/>
      <c r="F277" s="213" t="s">
        <v>283</v>
      </c>
      <c r="G277" s="214"/>
      <c r="H277" s="214"/>
      <c r="I277" s="214"/>
      <c r="K277" s="131">
        <v>17.976</v>
      </c>
      <c r="N277" s="130"/>
      <c r="R277" s="132"/>
      <c r="T277" s="133"/>
      <c r="AA277" s="134"/>
      <c r="AT277" s="130" t="s">
        <v>168</v>
      </c>
      <c r="AU277" s="130" t="s">
        <v>102</v>
      </c>
      <c r="AV277" s="130" t="s">
        <v>102</v>
      </c>
      <c r="AW277" s="130" t="s">
        <v>112</v>
      </c>
      <c r="AX277" s="130" t="s">
        <v>72</v>
      </c>
      <c r="AY277" s="130" t="s">
        <v>161</v>
      </c>
    </row>
    <row r="278" spans="2:51" s="6" customFormat="1" ht="15.75" customHeight="1">
      <c r="B278" s="135"/>
      <c r="E278" s="136"/>
      <c r="F278" s="215" t="s">
        <v>171</v>
      </c>
      <c r="G278" s="216"/>
      <c r="H278" s="216"/>
      <c r="I278" s="216"/>
      <c r="K278" s="137">
        <v>17.976</v>
      </c>
      <c r="N278" s="136"/>
      <c r="R278" s="138"/>
      <c r="T278" s="139"/>
      <c r="AA278" s="140"/>
      <c r="AT278" s="136" t="s">
        <v>168</v>
      </c>
      <c r="AU278" s="136" t="s">
        <v>102</v>
      </c>
      <c r="AV278" s="136" t="s">
        <v>166</v>
      </c>
      <c r="AW278" s="136" t="s">
        <v>112</v>
      </c>
      <c r="AX278" s="136" t="s">
        <v>16</v>
      </c>
      <c r="AY278" s="136" t="s">
        <v>161</v>
      </c>
    </row>
    <row r="279" spans="2:63" s="6" customFormat="1" ht="39" customHeight="1">
      <c r="B279" s="20"/>
      <c r="C279" s="117" t="s">
        <v>318</v>
      </c>
      <c r="D279" s="117" t="s">
        <v>162</v>
      </c>
      <c r="E279" s="118" t="s">
        <v>319</v>
      </c>
      <c r="F279" s="204" t="s">
        <v>320</v>
      </c>
      <c r="G279" s="205"/>
      <c r="H279" s="205"/>
      <c r="I279" s="205"/>
      <c r="J279" s="119" t="s">
        <v>174</v>
      </c>
      <c r="K279" s="120">
        <v>7.515</v>
      </c>
      <c r="L279" s="206">
        <v>0</v>
      </c>
      <c r="M279" s="205"/>
      <c r="N279" s="207">
        <f>ROUND($L$279*$K$279,2)</f>
        <v>0</v>
      </c>
      <c r="O279" s="205"/>
      <c r="P279" s="205"/>
      <c r="Q279" s="205"/>
      <c r="R279" s="21"/>
      <c r="T279" s="121"/>
      <c r="U279" s="27" t="s">
        <v>37</v>
      </c>
      <c r="V279" s="122">
        <v>0.55</v>
      </c>
      <c r="W279" s="122">
        <f>$V$279*$K$279</f>
        <v>4.13325</v>
      </c>
      <c r="X279" s="122">
        <v>0.01838</v>
      </c>
      <c r="Y279" s="122">
        <f>$X$279*$K$279</f>
        <v>0.1381257</v>
      </c>
      <c r="Z279" s="122">
        <v>0</v>
      </c>
      <c r="AA279" s="123">
        <f>$Z$279*$K$279</f>
        <v>0</v>
      </c>
      <c r="AR279" s="6" t="s">
        <v>166</v>
      </c>
      <c r="AT279" s="6" t="s">
        <v>162</v>
      </c>
      <c r="AU279" s="6" t="s">
        <v>102</v>
      </c>
      <c r="AY279" s="6" t="s">
        <v>161</v>
      </c>
      <c r="BE279" s="76">
        <f>IF($U$279="základní",$N$279,0)</f>
        <v>0</v>
      </c>
      <c r="BF279" s="76">
        <f>IF($U$279="snížená",$N$279,0)</f>
        <v>0</v>
      </c>
      <c r="BG279" s="76">
        <f>IF($U$279="zákl. přenesená",$N$279,0)</f>
        <v>0</v>
      </c>
      <c r="BH279" s="76">
        <f>IF($U$279="sníž. přenesená",$N$279,0)</f>
        <v>0</v>
      </c>
      <c r="BI279" s="76">
        <f>IF($U$279="nulová",$N$279,0)</f>
        <v>0</v>
      </c>
      <c r="BJ279" s="6" t="s">
        <v>16</v>
      </c>
      <c r="BK279" s="76">
        <f>ROUND($L$279*$K$279,2)</f>
        <v>0</v>
      </c>
    </row>
    <row r="280" spans="2:51" s="6" customFormat="1" ht="15.75" customHeight="1">
      <c r="B280" s="124"/>
      <c r="E280" s="125"/>
      <c r="F280" s="211" t="s">
        <v>219</v>
      </c>
      <c r="G280" s="212"/>
      <c r="H280" s="212"/>
      <c r="I280" s="212"/>
      <c r="K280" s="125"/>
      <c r="N280" s="125"/>
      <c r="R280" s="126"/>
      <c r="T280" s="127"/>
      <c r="AA280" s="128"/>
      <c r="AT280" s="125" t="s">
        <v>168</v>
      </c>
      <c r="AU280" s="125" t="s">
        <v>102</v>
      </c>
      <c r="AV280" s="125" t="s">
        <v>16</v>
      </c>
      <c r="AW280" s="125" t="s">
        <v>112</v>
      </c>
      <c r="AX280" s="125" t="s">
        <v>72</v>
      </c>
      <c r="AY280" s="125" t="s">
        <v>161</v>
      </c>
    </row>
    <row r="281" spans="2:51" s="6" customFormat="1" ht="15.75" customHeight="1">
      <c r="B281" s="124"/>
      <c r="E281" s="125"/>
      <c r="F281" s="211" t="s">
        <v>321</v>
      </c>
      <c r="G281" s="212"/>
      <c r="H281" s="212"/>
      <c r="I281" s="212"/>
      <c r="K281" s="125"/>
      <c r="N281" s="125"/>
      <c r="R281" s="126"/>
      <c r="T281" s="127"/>
      <c r="AA281" s="128"/>
      <c r="AT281" s="125" t="s">
        <v>168</v>
      </c>
      <c r="AU281" s="125" t="s">
        <v>102</v>
      </c>
      <c r="AV281" s="125" t="s">
        <v>16</v>
      </c>
      <c r="AW281" s="125" t="s">
        <v>112</v>
      </c>
      <c r="AX281" s="125" t="s">
        <v>72</v>
      </c>
      <c r="AY281" s="125" t="s">
        <v>161</v>
      </c>
    </row>
    <row r="282" spans="2:51" s="6" customFormat="1" ht="15.75" customHeight="1">
      <c r="B282" s="129"/>
      <c r="E282" s="130"/>
      <c r="F282" s="213" t="s">
        <v>220</v>
      </c>
      <c r="G282" s="214"/>
      <c r="H282" s="214"/>
      <c r="I282" s="214"/>
      <c r="K282" s="131">
        <v>7.515</v>
      </c>
      <c r="N282" s="130"/>
      <c r="R282" s="132"/>
      <c r="T282" s="133"/>
      <c r="AA282" s="134"/>
      <c r="AT282" s="130" t="s">
        <v>168</v>
      </c>
      <c r="AU282" s="130" t="s">
        <v>102</v>
      </c>
      <c r="AV282" s="130" t="s">
        <v>102</v>
      </c>
      <c r="AW282" s="130" t="s">
        <v>112</v>
      </c>
      <c r="AX282" s="130" t="s">
        <v>72</v>
      </c>
      <c r="AY282" s="130" t="s">
        <v>161</v>
      </c>
    </row>
    <row r="283" spans="2:51" s="6" customFormat="1" ht="15.75" customHeight="1">
      <c r="B283" s="135"/>
      <c r="E283" s="136"/>
      <c r="F283" s="215" t="s">
        <v>171</v>
      </c>
      <c r="G283" s="216"/>
      <c r="H283" s="216"/>
      <c r="I283" s="216"/>
      <c r="K283" s="137">
        <v>7.515</v>
      </c>
      <c r="N283" s="136"/>
      <c r="R283" s="138"/>
      <c r="T283" s="139"/>
      <c r="AA283" s="140"/>
      <c r="AT283" s="136" t="s">
        <v>168</v>
      </c>
      <c r="AU283" s="136" t="s">
        <v>102</v>
      </c>
      <c r="AV283" s="136" t="s">
        <v>166</v>
      </c>
      <c r="AW283" s="136" t="s">
        <v>112</v>
      </c>
      <c r="AX283" s="136" t="s">
        <v>16</v>
      </c>
      <c r="AY283" s="136" t="s">
        <v>161</v>
      </c>
    </row>
    <row r="284" spans="2:63" s="6" customFormat="1" ht="39" customHeight="1">
      <c r="B284" s="20"/>
      <c r="C284" s="117" t="s">
        <v>322</v>
      </c>
      <c r="D284" s="117" t="s">
        <v>162</v>
      </c>
      <c r="E284" s="118" t="s">
        <v>323</v>
      </c>
      <c r="F284" s="204" t="s">
        <v>324</v>
      </c>
      <c r="G284" s="205"/>
      <c r="H284" s="205"/>
      <c r="I284" s="205"/>
      <c r="J284" s="119" t="s">
        <v>174</v>
      </c>
      <c r="K284" s="120">
        <v>7.515</v>
      </c>
      <c r="L284" s="206">
        <v>0</v>
      </c>
      <c r="M284" s="205"/>
      <c r="N284" s="207">
        <f>ROUND($L$284*$K$284,2)</f>
        <v>0</v>
      </c>
      <c r="O284" s="205"/>
      <c r="P284" s="205"/>
      <c r="Q284" s="205"/>
      <c r="R284" s="21"/>
      <c r="T284" s="121"/>
      <c r="U284" s="27" t="s">
        <v>37</v>
      </c>
      <c r="V284" s="122">
        <v>0.101</v>
      </c>
      <c r="W284" s="122">
        <f>$V$284*$K$284</f>
        <v>0.759015</v>
      </c>
      <c r="X284" s="122">
        <v>0.0079</v>
      </c>
      <c r="Y284" s="122">
        <f>$X$284*$K$284</f>
        <v>0.059368500000000005</v>
      </c>
      <c r="Z284" s="122">
        <v>0</v>
      </c>
      <c r="AA284" s="123">
        <f>$Z$284*$K$284</f>
        <v>0</v>
      </c>
      <c r="AR284" s="6" t="s">
        <v>166</v>
      </c>
      <c r="AT284" s="6" t="s">
        <v>162</v>
      </c>
      <c r="AU284" s="6" t="s">
        <v>102</v>
      </c>
      <c r="AY284" s="6" t="s">
        <v>161</v>
      </c>
      <c r="BE284" s="76">
        <f>IF($U$284="základní",$N$284,0)</f>
        <v>0</v>
      </c>
      <c r="BF284" s="76">
        <f>IF($U$284="snížená",$N$284,0)</f>
        <v>0</v>
      </c>
      <c r="BG284" s="76">
        <f>IF($U$284="zákl. přenesená",$N$284,0)</f>
        <v>0</v>
      </c>
      <c r="BH284" s="76">
        <f>IF($U$284="sníž. přenesená",$N$284,0)</f>
        <v>0</v>
      </c>
      <c r="BI284" s="76">
        <f>IF($U$284="nulová",$N$284,0)</f>
        <v>0</v>
      </c>
      <c r="BJ284" s="6" t="s">
        <v>16</v>
      </c>
      <c r="BK284" s="76">
        <f>ROUND($L$284*$K$284,2)</f>
        <v>0</v>
      </c>
    </row>
    <row r="285" spans="2:63" s="6" customFormat="1" ht="27" customHeight="1">
      <c r="B285" s="20"/>
      <c r="C285" s="117" t="s">
        <v>325</v>
      </c>
      <c r="D285" s="117" t="s">
        <v>162</v>
      </c>
      <c r="E285" s="118" t="s">
        <v>326</v>
      </c>
      <c r="F285" s="204" t="s">
        <v>327</v>
      </c>
      <c r="G285" s="205"/>
      <c r="H285" s="205"/>
      <c r="I285" s="205"/>
      <c r="J285" s="119" t="s">
        <v>174</v>
      </c>
      <c r="K285" s="120">
        <v>64.8</v>
      </c>
      <c r="L285" s="206">
        <v>0</v>
      </c>
      <c r="M285" s="205"/>
      <c r="N285" s="207">
        <f>ROUND($L$285*$K$285,2)</f>
        <v>0</v>
      </c>
      <c r="O285" s="205"/>
      <c r="P285" s="205"/>
      <c r="Q285" s="205"/>
      <c r="R285" s="21"/>
      <c r="T285" s="121"/>
      <c r="U285" s="27" t="s">
        <v>37</v>
      </c>
      <c r="V285" s="122">
        <v>0.04</v>
      </c>
      <c r="W285" s="122">
        <f>$V$285*$K$285</f>
        <v>2.592</v>
      </c>
      <c r="X285" s="122">
        <v>0.00012</v>
      </c>
      <c r="Y285" s="122">
        <f>$X$285*$K$285</f>
        <v>0.007776</v>
      </c>
      <c r="Z285" s="122">
        <v>0</v>
      </c>
      <c r="AA285" s="123">
        <f>$Z$285*$K$285</f>
        <v>0</v>
      </c>
      <c r="AR285" s="6" t="s">
        <v>166</v>
      </c>
      <c r="AT285" s="6" t="s">
        <v>162</v>
      </c>
      <c r="AU285" s="6" t="s">
        <v>102</v>
      </c>
      <c r="AY285" s="6" t="s">
        <v>161</v>
      </c>
      <c r="BE285" s="76">
        <f>IF($U$285="základní",$N$285,0)</f>
        <v>0</v>
      </c>
      <c r="BF285" s="76">
        <f>IF($U$285="snížená",$N$285,0)</f>
        <v>0</v>
      </c>
      <c r="BG285" s="76">
        <f>IF($U$285="zákl. přenesená",$N$285,0)</f>
        <v>0</v>
      </c>
      <c r="BH285" s="76">
        <f>IF($U$285="sníž. přenesená",$N$285,0)</f>
        <v>0</v>
      </c>
      <c r="BI285" s="76">
        <f>IF($U$285="nulová",$N$285,0)</f>
        <v>0</v>
      </c>
      <c r="BJ285" s="6" t="s">
        <v>16</v>
      </c>
      <c r="BK285" s="76">
        <f>ROUND($L$285*$K$285,2)</f>
        <v>0</v>
      </c>
    </row>
    <row r="286" spans="2:51" s="6" customFormat="1" ht="15.75" customHeight="1">
      <c r="B286" s="124"/>
      <c r="E286" s="125"/>
      <c r="F286" s="211" t="s">
        <v>328</v>
      </c>
      <c r="G286" s="212"/>
      <c r="H286" s="212"/>
      <c r="I286" s="212"/>
      <c r="K286" s="125"/>
      <c r="N286" s="125"/>
      <c r="R286" s="126"/>
      <c r="T286" s="127"/>
      <c r="AA286" s="128"/>
      <c r="AT286" s="125" t="s">
        <v>168</v>
      </c>
      <c r="AU286" s="125" t="s">
        <v>102</v>
      </c>
      <c r="AV286" s="125" t="s">
        <v>16</v>
      </c>
      <c r="AW286" s="125" t="s">
        <v>112</v>
      </c>
      <c r="AX286" s="125" t="s">
        <v>72</v>
      </c>
      <c r="AY286" s="125" t="s">
        <v>161</v>
      </c>
    </row>
    <row r="287" spans="2:51" s="6" customFormat="1" ht="15.75" customHeight="1">
      <c r="B287" s="124"/>
      <c r="E287" s="125"/>
      <c r="F287" s="211" t="s">
        <v>329</v>
      </c>
      <c r="G287" s="212"/>
      <c r="H287" s="212"/>
      <c r="I287" s="212"/>
      <c r="K287" s="125"/>
      <c r="N287" s="125"/>
      <c r="R287" s="126"/>
      <c r="T287" s="127"/>
      <c r="AA287" s="128"/>
      <c r="AT287" s="125" t="s">
        <v>168</v>
      </c>
      <c r="AU287" s="125" t="s">
        <v>102</v>
      </c>
      <c r="AV287" s="125" t="s">
        <v>16</v>
      </c>
      <c r="AW287" s="125" t="s">
        <v>112</v>
      </c>
      <c r="AX287" s="125" t="s">
        <v>72</v>
      </c>
      <c r="AY287" s="125" t="s">
        <v>161</v>
      </c>
    </row>
    <row r="288" spans="2:51" s="6" customFormat="1" ht="15.75" customHeight="1">
      <c r="B288" s="129"/>
      <c r="E288" s="130"/>
      <c r="F288" s="213" t="s">
        <v>330</v>
      </c>
      <c r="G288" s="214"/>
      <c r="H288" s="214"/>
      <c r="I288" s="214"/>
      <c r="K288" s="131">
        <v>64.8</v>
      </c>
      <c r="N288" s="130"/>
      <c r="R288" s="132"/>
      <c r="T288" s="133"/>
      <c r="AA288" s="134"/>
      <c r="AT288" s="130" t="s">
        <v>168</v>
      </c>
      <c r="AU288" s="130" t="s">
        <v>102</v>
      </c>
      <c r="AV288" s="130" t="s">
        <v>102</v>
      </c>
      <c r="AW288" s="130" t="s">
        <v>112</v>
      </c>
      <c r="AX288" s="130" t="s">
        <v>16</v>
      </c>
      <c r="AY288" s="130" t="s">
        <v>161</v>
      </c>
    </row>
    <row r="289" spans="2:63" s="6" customFormat="1" ht="15.75" customHeight="1">
      <c r="B289" s="20"/>
      <c r="C289" s="117" t="s">
        <v>331</v>
      </c>
      <c r="D289" s="117" t="s">
        <v>162</v>
      </c>
      <c r="E289" s="118" t="s">
        <v>332</v>
      </c>
      <c r="F289" s="204" t="s">
        <v>333</v>
      </c>
      <c r="G289" s="205"/>
      <c r="H289" s="205"/>
      <c r="I289" s="205"/>
      <c r="J289" s="119" t="s">
        <v>174</v>
      </c>
      <c r="K289" s="120">
        <v>37.5</v>
      </c>
      <c r="L289" s="206">
        <v>0</v>
      </c>
      <c r="M289" s="205"/>
      <c r="N289" s="207">
        <f>ROUND($L$289*$K$289,2)</f>
        <v>0</v>
      </c>
      <c r="O289" s="205"/>
      <c r="P289" s="205"/>
      <c r="Q289" s="205"/>
      <c r="R289" s="21"/>
      <c r="T289" s="121"/>
      <c r="U289" s="27" t="s">
        <v>37</v>
      </c>
      <c r="V289" s="122">
        <v>0.04</v>
      </c>
      <c r="W289" s="122">
        <f>$V$289*$K$289</f>
        <v>1.5</v>
      </c>
      <c r="X289" s="122">
        <v>0.00012</v>
      </c>
      <c r="Y289" s="122">
        <f>$X$289*$K$289</f>
        <v>0.0045000000000000005</v>
      </c>
      <c r="Z289" s="122">
        <v>0</v>
      </c>
      <c r="AA289" s="123">
        <f>$Z$289*$K$289</f>
        <v>0</v>
      </c>
      <c r="AR289" s="6" t="s">
        <v>166</v>
      </c>
      <c r="AT289" s="6" t="s">
        <v>162</v>
      </c>
      <c r="AU289" s="6" t="s">
        <v>102</v>
      </c>
      <c r="AY289" s="6" t="s">
        <v>161</v>
      </c>
      <c r="BE289" s="76">
        <f>IF($U$289="základní",$N$289,0)</f>
        <v>0</v>
      </c>
      <c r="BF289" s="76">
        <f>IF($U$289="snížená",$N$289,0)</f>
        <v>0</v>
      </c>
      <c r="BG289" s="76">
        <f>IF($U$289="zákl. přenesená",$N$289,0)</f>
        <v>0</v>
      </c>
      <c r="BH289" s="76">
        <f>IF($U$289="sníž. přenesená",$N$289,0)</f>
        <v>0</v>
      </c>
      <c r="BI289" s="76">
        <f>IF($U$289="nulová",$N$289,0)</f>
        <v>0</v>
      </c>
      <c r="BJ289" s="6" t="s">
        <v>16</v>
      </c>
      <c r="BK289" s="76">
        <f>ROUND($L$289*$K$289,2)</f>
        <v>0</v>
      </c>
    </row>
    <row r="290" spans="2:51" s="6" customFormat="1" ht="15.75" customHeight="1">
      <c r="B290" s="124"/>
      <c r="E290" s="125"/>
      <c r="F290" s="211" t="s">
        <v>328</v>
      </c>
      <c r="G290" s="212"/>
      <c r="H290" s="212"/>
      <c r="I290" s="212"/>
      <c r="K290" s="125"/>
      <c r="N290" s="125"/>
      <c r="R290" s="126"/>
      <c r="T290" s="127"/>
      <c r="AA290" s="128"/>
      <c r="AT290" s="125" t="s">
        <v>168</v>
      </c>
      <c r="AU290" s="125" t="s">
        <v>102</v>
      </c>
      <c r="AV290" s="125" t="s">
        <v>16</v>
      </c>
      <c r="AW290" s="125" t="s">
        <v>112</v>
      </c>
      <c r="AX290" s="125" t="s">
        <v>72</v>
      </c>
      <c r="AY290" s="125" t="s">
        <v>161</v>
      </c>
    </row>
    <row r="291" spans="2:51" s="6" customFormat="1" ht="15.75" customHeight="1">
      <c r="B291" s="124"/>
      <c r="E291" s="125"/>
      <c r="F291" s="211" t="s">
        <v>334</v>
      </c>
      <c r="G291" s="212"/>
      <c r="H291" s="212"/>
      <c r="I291" s="212"/>
      <c r="K291" s="125"/>
      <c r="N291" s="125"/>
      <c r="R291" s="126"/>
      <c r="T291" s="127"/>
      <c r="AA291" s="128"/>
      <c r="AT291" s="125" t="s">
        <v>168</v>
      </c>
      <c r="AU291" s="125" t="s">
        <v>102</v>
      </c>
      <c r="AV291" s="125" t="s">
        <v>16</v>
      </c>
      <c r="AW291" s="125" t="s">
        <v>112</v>
      </c>
      <c r="AX291" s="125" t="s">
        <v>72</v>
      </c>
      <c r="AY291" s="125" t="s">
        <v>161</v>
      </c>
    </row>
    <row r="292" spans="2:51" s="6" customFormat="1" ht="15.75" customHeight="1">
      <c r="B292" s="129"/>
      <c r="E292" s="130"/>
      <c r="F292" s="213" t="s">
        <v>335</v>
      </c>
      <c r="G292" s="214"/>
      <c r="H292" s="214"/>
      <c r="I292" s="214"/>
      <c r="K292" s="131">
        <v>37.5</v>
      </c>
      <c r="N292" s="130"/>
      <c r="R292" s="132"/>
      <c r="T292" s="133"/>
      <c r="AA292" s="134"/>
      <c r="AT292" s="130" t="s">
        <v>168</v>
      </c>
      <c r="AU292" s="130" t="s">
        <v>102</v>
      </c>
      <c r="AV292" s="130" t="s">
        <v>102</v>
      </c>
      <c r="AW292" s="130" t="s">
        <v>112</v>
      </c>
      <c r="AX292" s="130" t="s">
        <v>16</v>
      </c>
      <c r="AY292" s="130" t="s">
        <v>161</v>
      </c>
    </row>
    <row r="293" spans="2:63" s="6" customFormat="1" ht="27" customHeight="1">
      <c r="B293" s="20"/>
      <c r="C293" s="117" t="s">
        <v>336</v>
      </c>
      <c r="D293" s="117" t="s">
        <v>162</v>
      </c>
      <c r="E293" s="118" t="s">
        <v>337</v>
      </c>
      <c r="F293" s="204" t="s">
        <v>338</v>
      </c>
      <c r="G293" s="205"/>
      <c r="H293" s="205"/>
      <c r="I293" s="205"/>
      <c r="J293" s="119" t="s">
        <v>174</v>
      </c>
      <c r="K293" s="120">
        <v>15.03</v>
      </c>
      <c r="L293" s="206">
        <v>0</v>
      </c>
      <c r="M293" s="205"/>
      <c r="N293" s="207">
        <f>ROUND($L$293*$K$293,2)</f>
        <v>0</v>
      </c>
      <c r="O293" s="205"/>
      <c r="P293" s="205"/>
      <c r="Q293" s="205"/>
      <c r="R293" s="21"/>
      <c r="T293" s="121"/>
      <c r="U293" s="27" t="s">
        <v>37</v>
      </c>
      <c r="V293" s="122">
        <v>0.202</v>
      </c>
      <c r="W293" s="122">
        <f>$V$293*$K$293</f>
        <v>3.03606</v>
      </c>
      <c r="X293" s="122">
        <v>0.0024</v>
      </c>
      <c r="Y293" s="122">
        <f>$X$293*$K$293</f>
        <v>0.03607199999999999</v>
      </c>
      <c r="Z293" s="122">
        <v>0</v>
      </c>
      <c r="AA293" s="123">
        <f>$Z$293*$K$293</f>
        <v>0</v>
      </c>
      <c r="AR293" s="6" t="s">
        <v>166</v>
      </c>
      <c r="AT293" s="6" t="s">
        <v>162</v>
      </c>
      <c r="AU293" s="6" t="s">
        <v>102</v>
      </c>
      <c r="AY293" s="6" t="s">
        <v>161</v>
      </c>
      <c r="BE293" s="76">
        <f>IF($U$293="základní",$N$293,0)</f>
        <v>0</v>
      </c>
      <c r="BF293" s="76">
        <f>IF($U$293="snížená",$N$293,0)</f>
        <v>0</v>
      </c>
      <c r="BG293" s="76">
        <f>IF($U$293="zákl. přenesená",$N$293,0)</f>
        <v>0</v>
      </c>
      <c r="BH293" s="76">
        <f>IF($U$293="sníž. přenesená",$N$293,0)</f>
        <v>0</v>
      </c>
      <c r="BI293" s="76">
        <f>IF($U$293="nulová",$N$293,0)</f>
        <v>0</v>
      </c>
      <c r="BJ293" s="6" t="s">
        <v>16</v>
      </c>
      <c r="BK293" s="76">
        <f>ROUND($L$293*$K$293,2)</f>
        <v>0</v>
      </c>
    </row>
    <row r="294" spans="2:51" s="6" customFormat="1" ht="15.75" customHeight="1">
      <c r="B294" s="124"/>
      <c r="E294" s="125"/>
      <c r="F294" s="211" t="s">
        <v>219</v>
      </c>
      <c r="G294" s="212"/>
      <c r="H294" s="212"/>
      <c r="I294" s="212"/>
      <c r="K294" s="125"/>
      <c r="N294" s="125"/>
      <c r="R294" s="126"/>
      <c r="T294" s="127"/>
      <c r="AA294" s="128"/>
      <c r="AT294" s="125" t="s">
        <v>168</v>
      </c>
      <c r="AU294" s="125" t="s">
        <v>102</v>
      </c>
      <c r="AV294" s="125" t="s">
        <v>16</v>
      </c>
      <c r="AW294" s="125" t="s">
        <v>112</v>
      </c>
      <c r="AX294" s="125" t="s">
        <v>72</v>
      </c>
      <c r="AY294" s="125" t="s">
        <v>161</v>
      </c>
    </row>
    <row r="295" spans="2:51" s="6" customFormat="1" ht="15.75" customHeight="1">
      <c r="B295" s="124"/>
      <c r="E295" s="125"/>
      <c r="F295" s="211" t="s">
        <v>321</v>
      </c>
      <c r="G295" s="212"/>
      <c r="H295" s="212"/>
      <c r="I295" s="212"/>
      <c r="K295" s="125"/>
      <c r="N295" s="125"/>
      <c r="R295" s="126"/>
      <c r="T295" s="127"/>
      <c r="AA295" s="128"/>
      <c r="AT295" s="125" t="s">
        <v>168</v>
      </c>
      <c r="AU295" s="125" t="s">
        <v>102</v>
      </c>
      <c r="AV295" s="125" t="s">
        <v>16</v>
      </c>
      <c r="AW295" s="125" t="s">
        <v>112</v>
      </c>
      <c r="AX295" s="125" t="s">
        <v>72</v>
      </c>
      <c r="AY295" s="125" t="s">
        <v>161</v>
      </c>
    </row>
    <row r="296" spans="2:51" s="6" customFormat="1" ht="15.75" customHeight="1">
      <c r="B296" s="129"/>
      <c r="E296" s="130"/>
      <c r="F296" s="213" t="s">
        <v>339</v>
      </c>
      <c r="G296" s="214"/>
      <c r="H296" s="214"/>
      <c r="I296" s="214"/>
      <c r="K296" s="131">
        <v>15.03</v>
      </c>
      <c r="N296" s="130"/>
      <c r="R296" s="132"/>
      <c r="T296" s="133"/>
      <c r="AA296" s="134"/>
      <c r="AT296" s="130" t="s">
        <v>168</v>
      </c>
      <c r="AU296" s="130" t="s">
        <v>102</v>
      </c>
      <c r="AV296" s="130" t="s">
        <v>102</v>
      </c>
      <c r="AW296" s="130" t="s">
        <v>112</v>
      </c>
      <c r="AX296" s="130" t="s">
        <v>72</v>
      </c>
      <c r="AY296" s="130" t="s">
        <v>161</v>
      </c>
    </row>
    <row r="297" spans="2:51" s="6" customFormat="1" ht="15.75" customHeight="1">
      <c r="B297" s="135"/>
      <c r="E297" s="136"/>
      <c r="F297" s="215" t="s">
        <v>171</v>
      </c>
      <c r="G297" s="216"/>
      <c r="H297" s="216"/>
      <c r="I297" s="216"/>
      <c r="K297" s="137">
        <v>15.03</v>
      </c>
      <c r="N297" s="136"/>
      <c r="R297" s="138"/>
      <c r="T297" s="139"/>
      <c r="AA297" s="140"/>
      <c r="AT297" s="136" t="s">
        <v>168</v>
      </c>
      <c r="AU297" s="136" t="s">
        <v>102</v>
      </c>
      <c r="AV297" s="136" t="s">
        <v>166</v>
      </c>
      <c r="AW297" s="136" t="s">
        <v>112</v>
      </c>
      <c r="AX297" s="136" t="s">
        <v>16</v>
      </c>
      <c r="AY297" s="136" t="s">
        <v>161</v>
      </c>
    </row>
    <row r="298" spans="2:63" s="6" customFormat="1" ht="27" customHeight="1">
      <c r="B298" s="20"/>
      <c r="C298" s="117" t="s">
        <v>340</v>
      </c>
      <c r="D298" s="117" t="s">
        <v>162</v>
      </c>
      <c r="E298" s="118" t="s">
        <v>341</v>
      </c>
      <c r="F298" s="204" t="s">
        <v>342</v>
      </c>
      <c r="G298" s="205"/>
      <c r="H298" s="205"/>
      <c r="I298" s="205"/>
      <c r="J298" s="119" t="s">
        <v>174</v>
      </c>
      <c r="K298" s="120">
        <v>15.03</v>
      </c>
      <c r="L298" s="206">
        <v>0</v>
      </c>
      <c r="M298" s="205"/>
      <c r="N298" s="207">
        <f>ROUND($L$298*$K$298,2)</f>
        <v>0</v>
      </c>
      <c r="O298" s="205"/>
      <c r="P298" s="205"/>
      <c r="Q298" s="205"/>
      <c r="R298" s="21"/>
      <c r="T298" s="121"/>
      <c r="U298" s="27" t="s">
        <v>37</v>
      </c>
      <c r="V298" s="122">
        <v>0.081</v>
      </c>
      <c r="W298" s="122">
        <f>$V$298*$K$298</f>
        <v>1.21743</v>
      </c>
      <c r="X298" s="122">
        <v>0.0014</v>
      </c>
      <c r="Y298" s="122">
        <f>$X$298*$K$298</f>
        <v>0.021041999999999998</v>
      </c>
      <c r="Z298" s="122">
        <v>0</v>
      </c>
      <c r="AA298" s="123">
        <f>$Z$298*$K$298</f>
        <v>0</v>
      </c>
      <c r="AR298" s="6" t="s">
        <v>166</v>
      </c>
      <c r="AT298" s="6" t="s">
        <v>162</v>
      </c>
      <c r="AU298" s="6" t="s">
        <v>102</v>
      </c>
      <c r="AY298" s="6" t="s">
        <v>161</v>
      </c>
      <c r="BE298" s="76">
        <f>IF($U$298="základní",$N$298,0)</f>
        <v>0</v>
      </c>
      <c r="BF298" s="76">
        <f>IF($U$298="snížená",$N$298,0)</f>
        <v>0</v>
      </c>
      <c r="BG298" s="76">
        <f>IF($U$298="zákl. přenesená",$N$298,0)</f>
        <v>0</v>
      </c>
      <c r="BH298" s="76">
        <f>IF($U$298="sníž. přenesená",$N$298,0)</f>
        <v>0</v>
      </c>
      <c r="BI298" s="76">
        <f>IF($U$298="nulová",$N$298,0)</f>
        <v>0</v>
      </c>
      <c r="BJ298" s="6" t="s">
        <v>16</v>
      </c>
      <c r="BK298" s="76">
        <f>ROUND($L$298*$K$298,2)</f>
        <v>0</v>
      </c>
    </row>
    <row r="299" spans="2:51" s="6" customFormat="1" ht="15.75" customHeight="1">
      <c r="B299" s="124"/>
      <c r="E299" s="125"/>
      <c r="F299" s="211" t="s">
        <v>219</v>
      </c>
      <c r="G299" s="212"/>
      <c r="H299" s="212"/>
      <c r="I299" s="212"/>
      <c r="K299" s="125"/>
      <c r="N299" s="125"/>
      <c r="R299" s="126"/>
      <c r="T299" s="127"/>
      <c r="AA299" s="128"/>
      <c r="AT299" s="125" t="s">
        <v>168</v>
      </c>
      <c r="AU299" s="125" t="s">
        <v>102</v>
      </c>
      <c r="AV299" s="125" t="s">
        <v>16</v>
      </c>
      <c r="AW299" s="125" t="s">
        <v>112</v>
      </c>
      <c r="AX299" s="125" t="s">
        <v>72</v>
      </c>
      <c r="AY299" s="125" t="s">
        <v>161</v>
      </c>
    </row>
    <row r="300" spans="2:51" s="6" customFormat="1" ht="15.75" customHeight="1">
      <c r="B300" s="124"/>
      <c r="E300" s="125"/>
      <c r="F300" s="211" t="s">
        <v>321</v>
      </c>
      <c r="G300" s="212"/>
      <c r="H300" s="212"/>
      <c r="I300" s="212"/>
      <c r="K300" s="125"/>
      <c r="N300" s="125"/>
      <c r="R300" s="126"/>
      <c r="T300" s="127"/>
      <c r="AA300" s="128"/>
      <c r="AT300" s="125" t="s">
        <v>168</v>
      </c>
      <c r="AU300" s="125" t="s">
        <v>102</v>
      </c>
      <c r="AV300" s="125" t="s">
        <v>16</v>
      </c>
      <c r="AW300" s="125" t="s">
        <v>112</v>
      </c>
      <c r="AX300" s="125" t="s">
        <v>72</v>
      </c>
      <c r="AY300" s="125" t="s">
        <v>161</v>
      </c>
    </row>
    <row r="301" spans="2:51" s="6" customFormat="1" ht="15.75" customHeight="1">
      <c r="B301" s="129"/>
      <c r="E301" s="130"/>
      <c r="F301" s="213" t="s">
        <v>339</v>
      </c>
      <c r="G301" s="214"/>
      <c r="H301" s="214"/>
      <c r="I301" s="214"/>
      <c r="K301" s="131">
        <v>15.03</v>
      </c>
      <c r="N301" s="130"/>
      <c r="R301" s="132"/>
      <c r="T301" s="133"/>
      <c r="AA301" s="134"/>
      <c r="AT301" s="130" t="s">
        <v>168</v>
      </c>
      <c r="AU301" s="130" t="s">
        <v>102</v>
      </c>
      <c r="AV301" s="130" t="s">
        <v>102</v>
      </c>
      <c r="AW301" s="130" t="s">
        <v>112</v>
      </c>
      <c r="AX301" s="130" t="s">
        <v>72</v>
      </c>
      <c r="AY301" s="130" t="s">
        <v>161</v>
      </c>
    </row>
    <row r="302" spans="2:51" s="6" customFormat="1" ht="15.75" customHeight="1">
      <c r="B302" s="135"/>
      <c r="E302" s="136"/>
      <c r="F302" s="215" t="s">
        <v>171</v>
      </c>
      <c r="G302" s="216"/>
      <c r="H302" s="216"/>
      <c r="I302" s="216"/>
      <c r="K302" s="137">
        <v>15.03</v>
      </c>
      <c r="N302" s="136"/>
      <c r="R302" s="138"/>
      <c r="T302" s="139"/>
      <c r="AA302" s="140"/>
      <c r="AT302" s="136" t="s">
        <v>168</v>
      </c>
      <c r="AU302" s="136" t="s">
        <v>102</v>
      </c>
      <c r="AV302" s="136" t="s">
        <v>166</v>
      </c>
      <c r="AW302" s="136" t="s">
        <v>112</v>
      </c>
      <c r="AX302" s="136" t="s">
        <v>16</v>
      </c>
      <c r="AY302" s="136" t="s">
        <v>161</v>
      </c>
    </row>
    <row r="303" spans="2:63" s="6" customFormat="1" ht="27" customHeight="1">
      <c r="B303" s="20"/>
      <c r="C303" s="117" t="s">
        <v>343</v>
      </c>
      <c r="D303" s="117" t="s">
        <v>162</v>
      </c>
      <c r="E303" s="118" t="s">
        <v>344</v>
      </c>
      <c r="F303" s="204" t="s">
        <v>345</v>
      </c>
      <c r="G303" s="205"/>
      <c r="H303" s="205"/>
      <c r="I303" s="205"/>
      <c r="J303" s="119" t="s">
        <v>174</v>
      </c>
      <c r="K303" s="120">
        <v>15.03</v>
      </c>
      <c r="L303" s="206">
        <v>0</v>
      </c>
      <c r="M303" s="205"/>
      <c r="N303" s="207">
        <f>ROUND($L$303*$K$303,2)</f>
        <v>0</v>
      </c>
      <c r="O303" s="205"/>
      <c r="P303" s="205"/>
      <c r="Q303" s="205"/>
      <c r="R303" s="21"/>
      <c r="T303" s="121"/>
      <c r="U303" s="27" t="s">
        <v>37</v>
      </c>
      <c r="V303" s="122">
        <v>0.074</v>
      </c>
      <c r="W303" s="122">
        <f>$V$303*$K$303</f>
        <v>1.11222</v>
      </c>
      <c r="X303" s="122">
        <v>0.00047</v>
      </c>
      <c r="Y303" s="122">
        <f>$X$303*$K$303</f>
        <v>0.007064099999999999</v>
      </c>
      <c r="Z303" s="122">
        <v>0</v>
      </c>
      <c r="AA303" s="123">
        <f>$Z$303*$K$303</f>
        <v>0</v>
      </c>
      <c r="AR303" s="6" t="s">
        <v>166</v>
      </c>
      <c r="AT303" s="6" t="s">
        <v>162</v>
      </c>
      <c r="AU303" s="6" t="s">
        <v>102</v>
      </c>
      <c r="AY303" s="6" t="s">
        <v>161</v>
      </c>
      <c r="BE303" s="76">
        <f>IF($U$303="základní",$N$303,0)</f>
        <v>0</v>
      </c>
      <c r="BF303" s="76">
        <f>IF($U$303="snížená",$N$303,0)</f>
        <v>0</v>
      </c>
      <c r="BG303" s="76">
        <f>IF($U$303="zákl. přenesená",$N$303,0)</f>
        <v>0</v>
      </c>
      <c r="BH303" s="76">
        <f>IF($U$303="sníž. přenesená",$N$303,0)</f>
        <v>0</v>
      </c>
      <c r="BI303" s="76">
        <f>IF($U$303="nulová",$N$303,0)</f>
        <v>0</v>
      </c>
      <c r="BJ303" s="6" t="s">
        <v>16</v>
      </c>
      <c r="BK303" s="76">
        <f>ROUND($L$303*$K$303,2)</f>
        <v>0</v>
      </c>
    </row>
    <row r="304" spans="2:51" s="6" customFormat="1" ht="15.75" customHeight="1">
      <c r="B304" s="124"/>
      <c r="E304" s="125"/>
      <c r="F304" s="211" t="s">
        <v>219</v>
      </c>
      <c r="G304" s="212"/>
      <c r="H304" s="212"/>
      <c r="I304" s="212"/>
      <c r="K304" s="125"/>
      <c r="N304" s="125"/>
      <c r="R304" s="126"/>
      <c r="T304" s="127"/>
      <c r="AA304" s="128"/>
      <c r="AT304" s="125" t="s">
        <v>168</v>
      </c>
      <c r="AU304" s="125" t="s">
        <v>102</v>
      </c>
      <c r="AV304" s="125" t="s">
        <v>16</v>
      </c>
      <c r="AW304" s="125" t="s">
        <v>112</v>
      </c>
      <c r="AX304" s="125" t="s">
        <v>72</v>
      </c>
      <c r="AY304" s="125" t="s">
        <v>161</v>
      </c>
    </row>
    <row r="305" spans="2:51" s="6" customFormat="1" ht="15.75" customHeight="1">
      <c r="B305" s="124"/>
      <c r="E305" s="125"/>
      <c r="F305" s="211" t="s">
        <v>321</v>
      </c>
      <c r="G305" s="212"/>
      <c r="H305" s="212"/>
      <c r="I305" s="212"/>
      <c r="K305" s="125"/>
      <c r="N305" s="125"/>
      <c r="R305" s="126"/>
      <c r="T305" s="127"/>
      <c r="AA305" s="128"/>
      <c r="AT305" s="125" t="s">
        <v>168</v>
      </c>
      <c r="AU305" s="125" t="s">
        <v>102</v>
      </c>
      <c r="AV305" s="125" t="s">
        <v>16</v>
      </c>
      <c r="AW305" s="125" t="s">
        <v>112</v>
      </c>
      <c r="AX305" s="125" t="s">
        <v>72</v>
      </c>
      <c r="AY305" s="125" t="s">
        <v>161</v>
      </c>
    </row>
    <row r="306" spans="2:51" s="6" customFormat="1" ht="15.75" customHeight="1">
      <c r="B306" s="129"/>
      <c r="E306" s="130"/>
      <c r="F306" s="213" t="s">
        <v>339</v>
      </c>
      <c r="G306" s="214"/>
      <c r="H306" s="214"/>
      <c r="I306" s="214"/>
      <c r="K306" s="131">
        <v>15.03</v>
      </c>
      <c r="N306" s="130"/>
      <c r="R306" s="132"/>
      <c r="T306" s="133"/>
      <c r="AA306" s="134"/>
      <c r="AT306" s="130" t="s">
        <v>168</v>
      </c>
      <c r="AU306" s="130" t="s">
        <v>102</v>
      </c>
      <c r="AV306" s="130" t="s">
        <v>102</v>
      </c>
      <c r="AW306" s="130" t="s">
        <v>112</v>
      </c>
      <c r="AX306" s="130" t="s">
        <v>72</v>
      </c>
      <c r="AY306" s="130" t="s">
        <v>161</v>
      </c>
    </row>
    <row r="307" spans="2:51" s="6" customFormat="1" ht="15.75" customHeight="1">
      <c r="B307" s="135"/>
      <c r="E307" s="136"/>
      <c r="F307" s="215" t="s">
        <v>171</v>
      </c>
      <c r="G307" s="216"/>
      <c r="H307" s="216"/>
      <c r="I307" s="216"/>
      <c r="K307" s="137">
        <v>15.03</v>
      </c>
      <c r="N307" s="136"/>
      <c r="R307" s="138"/>
      <c r="T307" s="139"/>
      <c r="AA307" s="140"/>
      <c r="AT307" s="136" t="s">
        <v>168</v>
      </c>
      <c r="AU307" s="136" t="s">
        <v>102</v>
      </c>
      <c r="AV307" s="136" t="s">
        <v>166</v>
      </c>
      <c r="AW307" s="136" t="s">
        <v>112</v>
      </c>
      <c r="AX307" s="136" t="s">
        <v>16</v>
      </c>
      <c r="AY307" s="136" t="s">
        <v>161</v>
      </c>
    </row>
    <row r="308" spans="2:63" s="6" customFormat="1" ht="27" customHeight="1">
      <c r="B308" s="20"/>
      <c r="C308" s="117" t="s">
        <v>346</v>
      </c>
      <c r="D308" s="117" t="s">
        <v>162</v>
      </c>
      <c r="E308" s="118" t="s">
        <v>347</v>
      </c>
      <c r="F308" s="204" t="s">
        <v>348</v>
      </c>
      <c r="G308" s="205"/>
      <c r="H308" s="205"/>
      <c r="I308" s="205"/>
      <c r="J308" s="119" t="s">
        <v>174</v>
      </c>
      <c r="K308" s="120">
        <v>15.03</v>
      </c>
      <c r="L308" s="206">
        <v>0</v>
      </c>
      <c r="M308" s="205"/>
      <c r="N308" s="207">
        <f>ROUND($L$308*$K$308,2)</f>
        <v>0</v>
      </c>
      <c r="O308" s="205"/>
      <c r="P308" s="205"/>
      <c r="Q308" s="205"/>
      <c r="R308" s="21"/>
      <c r="T308" s="121"/>
      <c r="U308" s="27" t="s">
        <v>37</v>
      </c>
      <c r="V308" s="122">
        <v>0.46</v>
      </c>
      <c r="W308" s="122">
        <f>$V$308*$K$308</f>
        <v>6.9138</v>
      </c>
      <c r="X308" s="122">
        <v>0.02636</v>
      </c>
      <c r="Y308" s="122">
        <f>$X$308*$K$308</f>
        <v>0.3961908</v>
      </c>
      <c r="Z308" s="122">
        <v>0</v>
      </c>
      <c r="AA308" s="123">
        <f>$Z$308*$K$308</f>
        <v>0</v>
      </c>
      <c r="AR308" s="6" t="s">
        <v>166</v>
      </c>
      <c r="AT308" s="6" t="s">
        <v>162</v>
      </c>
      <c r="AU308" s="6" t="s">
        <v>102</v>
      </c>
      <c r="AY308" s="6" t="s">
        <v>161</v>
      </c>
      <c r="BE308" s="76">
        <f>IF($U$308="základní",$N$308,0)</f>
        <v>0</v>
      </c>
      <c r="BF308" s="76">
        <f>IF($U$308="snížená",$N$308,0)</f>
        <v>0</v>
      </c>
      <c r="BG308" s="76">
        <f>IF($U$308="zákl. přenesená",$N$308,0)</f>
        <v>0</v>
      </c>
      <c r="BH308" s="76">
        <f>IF($U$308="sníž. přenesená",$N$308,0)</f>
        <v>0</v>
      </c>
      <c r="BI308" s="76">
        <f>IF($U$308="nulová",$N$308,0)</f>
        <v>0</v>
      </c>
      <c r="BJ308" s="6" t="s">
        <v>16</v>
      </c>
      <c r="BK308" s="76">
        <f>ROUND($L$308*$K$308,2)</f>
        <v>0</v>
      </c>
    </row>
    <row r="309" spans="2:51" s="6" customFormat="1" ht="15.75" customHeight="1">
      <c r="B309" s="124"/>
      <c r="E309" s="125"/>
      <c r="F309" s="211" t="s">
        <v>219</v>
      </c>
      <c r="G309" s="212"/>
      <c r="H309" s="212"/>
      <c r="I309" s="212"/>
      <c r="K309" s="125"/>
      <c r="N309" s="125"/>
      <c r="R309" s="126"/>
      <c r="T309" s="127"/>
      <c r="AA309" s="128"/>
      <c r="AT309" s="125" t="s">
        <v>168</v>
      </c>
      <c r="AU309" s="125" t="s">
        <v>102</v>
      </c>
      <c r="AV309" s="125" t="s">
        <v>16</v>
      </c>
      <c r="AW309" s="125" t="s">
        <v>112</v>
      </c>
      <c r="AX309" s="125" t="s">
        <v>72</v>
      </c>
      <c r="AY309" s="125" t="s">
        <v>161</v>
      </c>
    </row>
    <row r="310" spans="2:51" s="6" customFormat="1" ht="15.75" customHeight="1">
      <c r="B310" s="124"/>
      <c r="E310" s="125"/>
      <c r="F310" s="211" t="s">
        <v>321</v>
      </c>
      <c r="G310" s="212"/>
      <c r="H310" s="212"/>
      <c r="I310" s="212"/>
      <c r="K310" s="125"/>
      <c r="N310" s="125"/>
      <c r="R310" s="126"/>
      <c r="T310" s="127"/>
      <c r="AA310" s="128"/>
      <c r="AT310" s="125" t="s">
        <v>168</v>
      </c>
      <c r="AU310" s="125" t="s">
        <v>102</v>
      </c>
      <c r="AV310" s="125" t="s">
        <v>16</v>
      </c>
      <c r="AW310" s="125" t="s">
        <v>112</v>
      </c>
      <c r="AX310" s="125" t="s">
        <v>72</v>
      </c>
      <c r="AY310" s="125" t="s">
        <v>161</v>
      </c>
    </row>
    <row r="311" spans="2:51" s="6" customFormat="1" ht="15.75" customHeight="1">
      <c r="B311" s="129"/>
      <c r="E311" s="130"/>
      <c r="F311" s="213" t="s">
        <v>339</v>
      </c>
      <c r="G311" s="214"/>
      <c r="H311" s="214"/>
      <c r="I311" s="214"/>
      <c r="K311" s="131">
        <v>15.03</v>
      </c>
      <c r="N311" s="130"/>
      <c r="R311" s="132"/>
      <c r="T311" s="133"/>
      <c r="AA311" s="134"/>
      <c r="AT311" s="130" t="s">
        <v>168</v>
      </c>
      <c r="AU311" s="130" t="s">
        <v>102</v>
      </c>
      <c r="AV311" s="130" t="s">
        <v>102</v>
      </c>
      <c r="AW311" s="130" t="s">
        <v>112</v>
      </c>
      <c r="AX311" s="130" t="s">
        <v>72</v>
      </c>
      <c r="AY311" s="130" t="s">
        <v>161</v>
      </c>
    </row>
    <row r="312" spans="2:51" s="6" customFormat="1" ht="15.75" customHeight="1">
      <c r="B312" s="135"/>
      <c r="E312" s="136"/>
      <c r="F312" s="215" t="s">
        <v>171</v>
      </c>
      <c r="G312" s="216"/>
      <c r="H312" s="216"/>
      <c r="I312" s="216"/>
      <c r="K312" s="137">
        <v>15.03</v>
      </c>
      <c r="N312" s="136"/>
      <c r="R312" s="138"/>
      <c r="T312" s="139"/>
      <c r="AA312" s="140"/>
      <c r="AT312" s="136" t="s">
        <v>168</v>
      </c>
      <c r="AU312" s="136" t="s">
        <v>102</v>
      </c>
      <c r="AV312" s="136" t="s">
        <v>166</v>
      </c>
      <c r="AW312" s="136" t="s">
        <v>112</v>
      </c>
      <c r="AX312" s="136" t="s">
        <v>16</v>
      </c>
      <c r="AY312" s="136" t="s">
        <v>161</v>
      </c>
    </row>
    <row r="313" spans="2:63" s="6" customFormat="1" ht="27" customHeight="1">
      <c r="B313" s="20"/>
      <c r="C313" s="117" t="s">
        <v>349</v>
      </c>
      <c r="D313" s="117" t="s">
        <v>162</v>
      </c>
      <c r="E313" s="118" t="s">
        <v>350</v>
      </c>
      <c r="F313" s="204" t="s">
        <v>351</v>
      </c>
      <c r="G313" s="205"/>
      <c r="H313" s="205"/>
      <c r="I313" s="205"/>
      <c r="J313" s="119" t="s">
        <v>174</v>
      </c>
      <c r="K313" s="120">
        <v>30.06</v>
      </c>
      <c r="L313" s="206">
        <v>0</v>
      </c>
      <c r="M313" s="205"/>
      <c r="N313" s="207">
        <f>ROUND($L$313*$K$313,2)</f>
        <v>0</v>
      </c>
      <c r="O313" s="205"/>
      <c r="P313" s="205"/>
      <c r="Q313" s="205"/>
      <c r="R313" s="21"/>
      <c r="T313" s="121"/>
      <c r="U313" s="27" t="s">
        <v>37</v>
      </c>
      <c r="V313" s="122">
        <v>0.09</v>
      </c>
      <c r="W313" s="122">
        <f>$V$313*$K$313</f>
        <v>2.7053999999999996</v>
      </c>
      <c r="X313" s="122">
        <v>0.0079</v>
      </c>
      <c r="Y313" s="122">
        <f>$X$313*$K$313</f>
        <v>0.23747400000000002</v>
      </c>
      <c r="Z313" s="122">
        <v>0</v>
      </c>
      <c r="AA313" s="123">
        <f>$Z$313*$K$313</f>
        <v>0</v>
      </c>
      <c r="AR313" s="6" t="s">
        <v>166</v>
      </c>
      <c r="AT313" s="6" t="s">
        <v>162</v>
      </c>
      <c r="AU313" s="6" t="s">
        <v>102</v>
      </c>
      <c r="AY313" s="6" t="s">
        <v>161</v>
      </c>
      <c r="BE313" s="76">
        <f>IF($U$313="základní",$N$313,0)</f>
        <v>0</v>
      </c>
      <c r="BF313" s="76">
        <f>IF($U$313="snížená",$N$313,0)</f>
        <v>0</v>
      </c>
      <c r="BG313" s="76">
        <f>IF($U$313="zákl. přenesená",$N$313,0)</f>
        <v>0</v>
      </c>
      <c r="BH313" s="76">
        <f>IF($U$313="sníž. přenesená",$N$313,0)</f>
        <v>0</v>
      </c>
      <c r="BI313" s="76">
        <f>IF($U$313="nulová",$N$313,0)</f>
        <v>0</v>
      </c>
      <c r="BJ313" s="6" t="s">
        <v>16</v>
      </c>
      <c r="BK313" s="76">
        <f>ROUND($L$313*$K$313,2)</f>
        <v>0</v>
      </c>
    </row>
    <row r="314" spans="2:51" s="6" customFormat="1" ht="15.75" customHeight="1">
      <c r="B314" s="124"/>
      <c r="E314" s="125"/>
      <c r="F314" s="211" t="s">
        <v>219</v>
      </c>
      <c r="G314" s="212"/>
      <c r="H314" s="212"/>
      <c r="I314" s="212"/>
      <c r="K314" s="125"/>
      <c r="N314" s="125"/>
      <c r="R314" s="126"/>
      <c r="T314" s="127"/>
      <c r="AA314" s="128"/>
      <c r="AT314" s="125" t="s">
        <v>168</v>
      </c>
      <c r="AU314" s="125" t="s">
        <v>102</v>
      </c>
      <c r="AV314" s="125" t="s">
        <v>16</v>
      </c>
      <c r="AW314" s="125" t="s">
        <v>112</v>
      </c>
      <c r="AX314" s="125" t="s">
        <v>72</v>
      </c>
      <c r="AY314" s="125" t="s">
        <v>161</v>
      </c>
    </row>
    <row r="315" spans="2:51" s="6" customFormat="1" ht="15.75" customHeight="1">
      <c r="B315" s="124"/>
      <c r="E315" s="125"/>
      <c r="F315" s="211" t="s">
        <v>321</v>
      </c>
      <c r="G315" s="212"/>
      <c r="H315" s="212"/>
      <c r="I315" s="212"/>
      <c r="K315" s="125"/>
      <c r="N315" s="125"/>
      <c r="R315" s="126"/>
      <c r="T315" s="127"/>
      <c r="AA315" s="128"/>
      <c r="AT315" s="125" t="s">
        <v>168</v>
      </c>
      <c r="AU315" s="125" t="s">
        <v>102</v>
      </c>
      <c r="AV315" s="125" t="s">
        <v>16</v>
      </c>
      <c r="AW315" s="125" t="s">
        <v>112</v>
      </c>
      <c r="AX315" s="125" t="s">
        <v>72</v>
      </c>
      <c r="AY315" s="125" t="s">
        <v>161</v>
      </c>
    </row>
    <row r="316" spans="2:51" s="6" customFormat="1" ht="15.75" customHeight="1">
      <c r="B316" s="129"/>
      <c r="E316" s="130"/>
      <c r="F316" s="213" t="s">
        <v>352</v>
      </c>
      <c r="G316" s="214"/>
      <c r="H316" s="214"/>
      <c r="I316" s="214"/>
      <c r="K316" s="131">
        <v>30.06</v>
      </c>
      <c r="N316" s="130"/>
      <c r="R316" s="132"/>
      <c r="T316" s="133"/>
      <c r="AA316" s="134"/>
      <c r="AT316" s="130" t="s">
        <v>168</v>
      </c>
      <c r="AU316" s="130" t="s">
        <v>102</v>
      </c>
      <c r="AV316" s="130" t="s">
        <v>102</v>
      </c>
      <c r="AW316" s="130" t="s">
        <v>112</v>
      </c>
      <c r="AX316" s="130" t="s">
        <v>72</v>
      </c>
      <c r="AY316" s="130" t="s">
        <v>161</v>
      </c>
    </row>
    <row r="317" spans="2:51" s="6" customFormat="1" ht="15.75" customHeight="1">
      <c r="B317" s="135"/>
      <c r="E317" s="136"/>
      <c r="F317" s="215" t="s">
        <v>171</v>
      </c>
      <c r="G317" s="216"/>
      <c r="H317" s="216"/>
      <c r="I317" s="216"/>
      <c r="K317" s="137">
        <v>30.06</v>
      </c>
      <c r="N317" s="136"/>
      <c r="R317" s="138"/>
      <c r="T317" s="139"/>
      <c r="AA317" s="140"/>
      <c r="AT317" s="136" t="s">
        <v>168</v>
      </c>
      <c r="AU317" s="136" t="s">
        <v>102</v>
      </c>
      <c r="AV317" s="136" t="s">
        <v>166</v>
      </c>
      <c r="AW317" s="136" t="s">
        <v>112</v>
      </c>
      <c r="AX317" s="136" t="s">
        <v>16</v>
      </c>
      <c r="AY317" s="136" t="s">
        <v>161</v>
      </c>
    </row>
    <row r="318" spans="2:63" s="6" customFormat="1" ht="27" customHeight="1">
      <c r="B318" s="20"/>
      <c r="C318" s="117" t="s">
        <v>353</v>
      </c>
      <c r="D318" s="117" t="s">
        <v>162</v>
      </c>
      <c r="E318" s="118" t="s">
        <v>354</v>
      </c>
      <c r="F318" s="204" t="s">
        <v>355</v>
      </c>
      <c r="G318" s="205"/>
      <c r="H318" s="205"/>
      <c r="I318" s="205"/>
      <c r="J318" s="119" t="s">
        <v>174</v>
      </c>
      <c r="K318" s="120">
        <v>30.06</v>
      </c>
      <c r="L318" s="206">
        <v>0</v>
      </c>
      <c r="M318" s="205"/>
      <c r="N318" s="207">
        <f>ROUND($L$318*$K$318,2)</f>
        <v>0</v>
      </c>
      <c r="O318" s="205"/>
      <c r="P318" s="205"/>
      <c r="Q318" s="205"/>
      <c r="R318" s="21"/>
      <c r="T318" s="121"/>
      <c r="U318" s="27" t="s">
        <v>37</v>
      </c>
      <c r="V318" s="122">
        <v>0.19</v>
      </c>
      <c r="W318" s="122">
        <f>$V$318*$K$318</f>
        <v>5.7114</v>
      </c>
      <c r="X318" s="122">
        <v>0.0006</v>
      </c>
      <c r="Y318" s="122">
        <f>$X$318*$K$318</f>
        <v>0.018035999999999996</v>
      </c>
      <c r="Z318" s="122">
        <v>0</v>
      </c>
      <c r="AA318" s="123">
        <f>$Z$318*$K$318</f>
        <v>0</v>
      </c>
      <c r="AR318" s="6" t="s">
        <v>166</v>
      </c>
      <c r="AT318" s="6" t="s">
        <v>162</v>
      </c>
      <c r="AU318" s="6" t="s">
        <v>102</v>
      </c>
      <c r="AY318" s="6" t="s">
        <v>161</v>
      </c>
      <c r="BE318" s="76">
        <f>IF($U$318="základní",$N$318,0)</f>
        <v>0</v>
      </c>
      <c r="BF318" s="76">
        <f>IF($U$318="snížená",$N$318,0)</f>
        <v>0</v>
      </c>
      <c r="BG318" s="76">
        <f>IF($U$318="zákl. přenesená",$N$318,0)</f>
        <v>0</v>
      </c>
      <c r="BH318" s="76">
        <f>IF($U$318="sníž. přenesená",$N$318,0)</f>
        <v>0</v>
      </c>
      <c r="BI318" s="76">
        <f>IF($U$318="nulová",$N$318,0)</f>
        <v>0</v>
      </c>
      <c r="BJ318" s="6" t="s">
        <v>16</v>
      </c>
      <c r="BK318" s="76">
        <f>ROUND($L$318*$K$318,2)</f>
        <v>0</v>
      </c>
    </row>
    <row r="319" spans="2:51" s="6" customFormat="1" ht="15.75" customHeight="1">
      <c r="B319" s="124"/>
      <c r="E319" s="125"/>
      <c r="F319" s="211" t="s">
        <v>219</v>
      </c>
      <c r="G319" s="212"/>
      <c r="H319" s="212"/>
      <c r="I319" s="212"/>
      <c r="K319" s="125"/>
      <c r="N319" s="125"/>
      <c r="R319" s="126"/>
      <c r="T319" s="127"/>
      <c r="AA319" s="128"/>
      <c r="AT319" s="125" t="s">
        <v>168</v>
      </c>
      <c r="AU319" s="125" t="s">
        <v>102</v>
      </c>
      <c r="AV319" s="125" t="s">
        <v>16</v>
      </c>
      <c r="AW319" s="125" t="s">
        <v>112</v>
      </c>
      <c r="AX319" s="125" t="s">
        <v>72</v>
      </c>
      <c r="AY319" s="125" t="s">
        <v>161</v>
      </c>
    </row>
    <row r="320" spans="2:51" s="6" customFormat="1" ht="15.75" customHeight="1">
      <c r="B320" s="124"/>
      <c r="E320" s="125"/>
      <c r="F320" s="211" t="s">
        <v>321</v>
      </c>
      <c r="G320" s="212"/>
      <c r="H320" s="212"/>
      <c r="I320" s="212"/>
      <c r="K320" s="125"/>
      <c r="N320" s="125"/>
      <c r="R320" s="126"/>
      <c r="T320" s="127"/>
      <c r="AA320" s="128"/>
      <c r="AT320" s="125" t="s">
        <v>168</v>
      </c>
      <c r="AU320" s="125" t="s">
        <v>102</v>
      </c>
      <c r="AV320" s="125" t="s">
        <v>16</v>
      </c>
      <c r="AW320" s="125" t="s">
        <v>112</v>
      </c>
      <c r="AX320" s="125" t="s">
        <v>72</v>
      </c>
      <c r="AY320" s="125" t="s">
        <v>161</v>
      </c>
    </row>
    <row r="321" spans="2:51" s="6" customFormat="1" ht="15.75" customHeight="1">
      <c r="B321" s="129"/>
      <c r="E321" s="130"/>
      <c r="F321" s="213" t="s">
        <v>356</v>
      </c>
      <c r="G321" s="214"/>
      <c r="H321" s="214"/>
      <c r="I321" s="214"/>
      <c r="K321" s="131">
        <v>30.06</v>
      </c>
      <c r="N321" s="130"/>
      <c r="R321" s="132"/>
      <c r="T321" s="133"/>
      <c r="AA321" s="134"/>
      <c r="AT321" s="130" t="s">
        <v>168</v>
      </c>
      <c r="AU321" s="130" t="s">
        <v>102</v>
      </c>
      <c r="AV321" s="130" t="s">
        <v>102</v>
      </c>
      <c r="AW321" s="130" t="s">
        <v>112</v>
      </c>
      <c r="AX321" s="130" t="s">
        <v>72</v>
      </c>
      <c r="AY321" s="130" t="s">
        <v>161</v>
      </c>
    </row>
    <row r="322" spans="2:51" s="6" customFormat="1" ht="15.75" customHeight="1">
      <c r="B322" s="135"/>
      <c r="E322" s="136"/>
      <c r="F322" s="215" t="s">
        <v>171</v>
      </c>
      <c r="G322" s="216"/>
      <c r="H322" s="216"/>
      <c r="I322" s="216"/>
      <c r="K322" s="137">
        <v>30.06</v>
      </c>
      <c r="N322" s="136"/>
      <c r="R322" s="138"/>
      <c r="T322" s="139"/>
      <c r="AA322" s="140"/>
      <c r="AT322" s="136" t="s">
        <v>168</v>
      </c>
      <c r="AU322" s="136" t="s">
        <v>102</v>
      </c>
      <c r="AV322" s="136" t="s">
        <v>166</v>
      </c>
      <c r="AW322" s="136" t="s">
        <v>112</v>
      </c>
      <c r="AX322" s="136" t="s">
        <v>16</v>
      </c>
      <c r="AY322" s="136" t="s">
        <v>161</v>
      </c>
    </row>
    <row r="323" spans="2:63" s="6" customFormat="1" ht="27" customHeight="1">
      <c r="B323" s="20"/>
      <c r="C323" s="117" t="s">
        <v>357</v>
      </c>
      <c r="D323" s="117" t="s">
        <v>162</v>
      </c>
      <c r="E323" s="118" t="s">
        <v>358</v>
      </c>
      <c r="F323" s="204" t="s">
        <v>359</v>
      </c>
      <c r="G323" s="205"/>
      <c r="H323" s="205"/>
      <c r="I323" s="205"/>
      <c r="J323" s="119" t="s">
        <v>165</v>
      </c>
      <c r="K323" s="120">
        <v>0.666</v>
      </c>
      <c r="L323" s="206">
        <v>0</v>
      </c>
      <c r="M323" s="205"/>
      <c r="N323" s="207">
        <f>ROUND($L$323*$K$323,2)</f>
        <v>0</v>
      </c>
      <c r="O323" s="205"/>
      <c r="P323" s="205"/>
      <c r="Q323" s="205"/>
      <c r="R323" s="21"/>
      <c r="T323" s="121"/>
      <c r="U323" s="27" t="s">
        <v>37</v>
      </c>
      <c r="V323" s="122">
        <v>2.317</v>
      </c>
      <c r="W323" s="122">
        <f>$V$323*$K$323</f>
        <v>1.543122</v>
      </c>
      <c r="X323" s="122">
        <v>2.25634</v>
      </c>
      <c r="Y323" s="122">
        <f>$X$323*$K$323</f>
        <v>1.5027224399999999</v>
      </c>
      <c r="Z323" s="122">
        <v>0</v>
      </c>
      <c r="AA323" s="123">
        <f>$Z$323*$K$323</f>
        <v>0</v>
      </c>
      <c r="AR323" s="6" t="s">
        <v>166</v>
      </c>
      <c r="AT323" s="6" t="s">
        <v>162</v>
      </c>
      <c r="AU323" s="6" t="s">
        <v>102</v>
      </c>
      <c r="AY323" s="6" t="s">
        <v>161</v>
      </c>
      <c r="BE323" s="76">
        <f>IF($U$323="základní",$N$323,0)</f>
        <v>0</v>
      </c>
      <c r="BF323" s="76">
        <f>IF($U$323="snížená",$N$323,0)</f>
        <v>0</v>
      </c>
      <c r="BG323" s="76">
        <f>IF($U$323="zákl. přenesená",$N$323,0)</f>
        <v>0</v>
      </c>
      <c r="BH323" s="76">
        <f>IF($U$323="sníž. přenesená",$N$323,0)</f>
        <v>0</v>
      </c>
      <c r="BI323" s="76">
        <f>IF($U$323="nulová",$N$323,0)</f>
        <v>0</v>
      </c>
      <c r="BJ323" s="6" t="s">
        <v>16</v>
      </c>
      <c r="BK323" s="76">
        <f>ROUND($L$323*$K$323,2)</f>
        <v>0</v>
      </c>
    </row>
    <row r="324" spans="2:51" s="6" customFormat="1" ht="15.75" customHeight="1">
      <c r="B324" s="124"/>
      <c r="E324" s="125"/>
      <c r="F324" s="211" t="s">
        <v>167</v>
      </c>
      <c r="G324" s="212"/>
      <c r="H324" s="212"/>
      <c r="I324" s="212"/>
      <c r="K324" s="125"/>
      <c r="N324" s="125"/>
      <c r="R324" s="126"/>
      <c r="T324" s="127"/>
      <c r="AA324" s="128"/>
      <c r="AT324" s="125" t="s">
        <v>168</v>
      </c>
      <c r="AU324" s="125" t="s">
        <v>102</v>
      </c>
      <c r="AV324" s="125" t="s">
        <v>16</v>
      </c>
      <c r="AW324" s="125" t="s">
        <v>112</v>
      </c>
      <c r="AX324" s="125" t="s">
        <v>72</v>
      </c>
      <c r="AY324" s="125" t="s">
        <v>161</v>
      </c>
    </row>
    <row r="325" spans="2:51" s="6" customFormat="1" ht="15.75" customHeight="1">
      <c r="B325" s="124"/>
      <c r="E325" s="125"/>
      <c r="F325" s="211" t="s">
        <v>215</v>
      </c>
      <c r="G325" s="212"/>
      <c r="H325" s="212"/>
      <c r="I325" s="212"/>
      <c r="K325" s="125"/>
      <c r="N325" s="125"/>
      <c r="R325" s="126"/>
      <c r="T325" s="127"/>
      <c r="AA325" s="128"/>
      <c r="AT325" s="125" t="s">
        <v>168</v>
      </c>
      <c r="AU325" s="125" t="s">
        <v>102</v>
      </c>
      <c r="AV325" s="125" t="s">
        <v>16</v>
      </c>
      <c r="AW325" s="125" t="s">
        <v>112</v>
      </c>
      <c r="AX325" s="125" t="s">
        <v>72</v>
      </c>
      <c r="AY325" s="125" t="s">
        <v>161</v>
      </c>
    </row>
    <row r="326" spans="2:51" s="6" customFormat="1" ht="15.75" customHeight="1">
      <c r="B326" s="129"/>
      <c r="E326" s="130"/>
      <c r="F326" s="213" t="s">
        <v>360</v>
      </c>
      <c r="G326" s="214"/>
      <c r="H326" s="214"/>
      <c r="I326" s="214"/>
      <c r="K326" s="131">
        <v>0.666</v>
      </c>
      <c r="N326" s="130"/>
      <c r="R326" s="132"/>
      <c r="T326" s="133"/>
      <c r="AA326" s="134"/>
      <c r="AT326" s="130" t="s">
        <v>168</v>
      </c>
      <c r="AU326" s="130" t="s">
        <v>102</v>
      </c>
      <c r="AV326" s="130" t="s">
        <v>102</v>
      </c>
      <c r="AW326" s="130" t="s">
        <v>112</v>
      </c>
      <c r="AX326" s="130" t="s">
        <v>16</v>
      </c>
      <c r="AY326" s="130" t="s">
        <v>161</v>
      </c>
    </row>
    <row r="327" spans="2:63" s="6" customFormat="1" ht="27" customHeight="1">
      <c r="B327" s="20"/>
      <c r="C327" s="117" t="s">
        <v>361</v>
      </c>
      <c r="D327" s="117" t="s">
        <v>162</v>
      </c>
      <c r="E327" s="118" t="s">
        <v>362</v>
      </c>
      <c r="F327" s="204" t="s">
        <v>363</v>
      </c>
      <c r="G327" s="205"/>
      <c r="H327" s="205"/>
      <c r="I327" s="205"/>
      <c r="J327" s="119" t="s">
        <v>165</v>
      </c>
      <c r="K327" s="120">
        <v>0.666</v>
      </c>
      <c r="L327" s="206">
        <v>0</v>
      </c>
      <c r="M327" s="205"/>
      <c r="N327" s="207">
        <f>ROUND($L$327*$K$327,2)</f>
        <v>0</v>
      </c>
      <c r="O327" s="205"/>
      <c r="P327" s="205"/>
      <c r="Q327" s="205"/>
      <c r="R327" s="21"/>
      <c r="T327" s="121"/>
      <c r="U327" s="27" t="s">
        <v>37</v>
      </c>
      <c r="V327" s="122">
        <v>0.205</v>
      </c>
      <c r="W327" s="122">
        <f>$V$327*$K$327</f>
        <v>0.13653</v>
      </c>
      <c r="X327" s="122">
        <v>0</v>
      </c>
      <c r="Y327" s="122">
        <f>$X$327*$K$327</f>
        <v>0</v>
      </c>
      <c r="Z327" s="122">
        <v>0</v>
      </c>
      <c r="AA327" s="123">
        <f>$Z$327*$K$327</f>
        <v>0</v>
      </c>
      <c r="AR327" s="6" t="s">
        <v>166</v>
      </c>
      <c r="AT327" s="6" t="s">
        <v>162</v>
      </c>
      <c r="AU327" s="6" t="s">
        <v>102</v>
      </c>
      <c r="AY327" s="6" t="s">
        <v>161</v>
      </c>
      <c r="BE327" s="76">
        <f>IF($U$327="základní",$N$327,0)</f>
        <v>0</v>
      </c>
      <c r="BF327" s="76">
        <f>IF($U$327="snížená",$N$327,0)</f>
        <v>0</v>
      </c>
      <c r="BG327" s="76">
        <f>IF($U$327="zákl. přenesená",$N$327,0)</f>
        <v>0</v>
      </c>
      <c r="BH327" s="76">
        <f>IF($U$327="sníž. přenesená",$N$327,0)</f>
        <v>0</v>
      </c>
      <c r="BI327" s="76">
        <f>IF($U$327="nulová",$N$327,0)</f>
        <v>0</v>
      </c>
      <c r="BJ327" s="6" t="s">
        <v>16</v>
      </c>
      <c r="BK327" s="76">
        <f>ROUND($L$327*$K$327,2)</f>
        <v>0</v>
      </c>
    </row>
    <row r="328" spans="2:51" s="6" customFormat="1" ht="15.75" customHeight="1">
      <c r="B328" s="124"/>
      <c r="E328" s="125"/>
      <c r="F328" s="211" t="s">
        <v>215</v>
      </c>
      <c r="G328" s="212"/>
      <c r="H328" s="212"/>
      <c r="I328" s="212"/>
      <c r="K328" s="125"/>
      <c r="N328" s="125"/>
      <c r="R328" s="126"/>
      <c r="T328" s="127"/>
      <c r="AA328" s="128"/>
      <c r="AT328" s="125" t="s">
        <v>168</v>
      </c>
      <c r="AU328" s="125" t="s">
        <v>102</v>
      </c>
      <c r="AV328" s="125" t="s">
        <v>16</v>
      </c>
      <c r="AW328" s="125" t="s">
        <v>112</v>
      </c>
      <c r="AX328" s="125" t="s">
        <v>72</v>
      </c>
      <c r="AY328" s="125" t="s">
        <v>161</v>
      </c>
    </row>
    <row r="329" spans="2:51" s="6" customFormat="1" ht="15.75" customHeight="1">
      <c r="B329" s="129"/>
      <c r="E329" s="130"/>
      <c r="F329" s="213" t="s">
        <v>360</v>
      </c>
      <c r="G329" s="214"/>
      <c r="H329" s="214"/>
      <c r="I329" s="214"/>
      <c r="K329" s="131">
        <v>0.666</v>
      </c>
      <c r="N329" s="130"/>
      <c r="R329" s="132"/>
      <c r="T329" s="133"/>
      <c r="AA329" s="134"/>
      <c r="AT329" s="130" t="s">
        <v>168</v>
      </c>
      <c r="AU329" s="130" t="s">
        <v>102</v>
      </c>
      <c r="AV329" s="130" t="s">
        <v>102</v>
      </c>
      <c r="AW329" s="130" t="s">
        <v>112</v>
      </c>
      <c r="AX329" s="130" t="s">
        <v>16</v>
      </c>
      <c r="AY329" s="130" t="s">
        <v>161</v>
      </c>
    </row>
    <row r="330" spans="2:63" s="6" customFormat="1" ht="27" customHeight="1">
      <c r="B330" s="20"/>
      <c r="C330" s="117" t="s">
        <v>364</v>
      </c>
      <c r="D330" s="117" t="s">
        <v>162</v>
      </c>
      <c r="E330" s="118" t="s">
        <v>365</v>
      </c>
      <c r="F330" s="204" t="s">
        <v>366</v>
      </c>
      <c r="G330" s="205"/>
      <c r="H330" s="205"/>
      <c r="I330" s="205"/>
      <c r="J330" s="119" t="s">
        <v>165</v>
      </c>
      <c r="K330" s="120">
        <v>0.666</v>
      </c>
      <c r="L330" s="206">
        <v>0</v>
      </c>
      <c r="M330" s="205"/>
      <c r="N330" s="207">
        <f>ROUND($L$330*$K$330,2)</f>
        <v>0</v>
      </c>
      <c r="O330" s="205"/>
      <c r="P330" s="205"/>
      <c r="Q330" s="205"/>
      <c r="R330" s="21"/>
      <c r="T330" s="121"/>
      <c r="U330" s="27" t="s">
        <v>37</v>
      </c>
      <c r="V330" s="122">
        <v>1.028</v>
      </c>
      <c r="W330" s="122">
        <f>$V$330*$K$330</f>
        <v>0.684648</v>
      </c>
      <c r="X330" s="122">
        <v>0</v>
      </c>
      <c r="Y330" s="122">
        <f>$X$330*$K$330</f>
        <v>0</v>
      </c>
      <c r="Z330" s="122">
        <v>0</v>
      </c>
      <c r="AA330" s="123">
        <f>$Z$330*$K$330</f>
        <v>0</v>
      </c>
      <c r="AR330" s="6" t="s">
        <v>166</v>
      </c>
      <c r="AT330" s="6" t="s">
        <v>162</v>
      </c>
      <c r="AU330" s="6" t="s">
        <v>102</v>
      </c>
      <c r="AY330" s="6" t="s">
        <v>161</v>
      </c>
      <c r="BE330" s="76">
        <f>IF($U$330="základní",$N$330,0)</f>
        <v>0</v>
      </c>
      <c r="BF330" s="76">
        <f>IF($U$330="snížená",$N$330,0)</f>
        <v>0</v>
      </c>
      <c r="BG330" s="76">
        <f>IF($U$330="zákl. přenesená",$N$330,0)</f>
        <v>0</v>
      </c>
      <c r="BH330" s="76">
        <f>IF($U$330="sníž. přenesená",$N$330,0)</f>
        <v>0</v>
      </c>
      <c r="BI330" s="76">
        <f>IF($U$330="nulová",$N$330,0)</f>
        <v>0</v>
      </c>
      <c r="BJ330" s="6" t="s">
        <v>16</v>
      </c>
      <c r="BK330" s="76">
        <f>ROUND($L$330*$K$330,2)</f>
        <v>0</v>
      </c>
    </row>
    <row r="331" spans="2:51" s="6" customFormat="1" ht="15.75" customHeight="1">
      <c r="B331" s="124"/>
      <c r="E331" s="125"/>
      <c r="F331" s="211" t="s">
        <v>215</v>
      </c>
      <c r="G331" s="212"/>
      <c r="H331" s="212"/>
      <c r="I331" s="212"/>
      <c r="K331" s="125"/>
      <c r="N331" s="125"/>
      <c r="R331" s="126"/>
      <c r="T331" s="127"/>
      <c r="AA331" s="128"/>
      <c r="AT331" s="125" t="s">
        <v>168</v>
      </c>
      <c r="AU331" s="125" t="s">
        <v>102</v>
      </c>
      <c r="AV331" s="125" t="s">
        <v>16</v>
      </c>
      <c r="AW331" s="125" t="s">
        <v>112</v>
      </c>
      <c r="AX331" s="125" t="s">
        <v>72</v>
      </c>
      <c r="AY331" s="125" t="s">
        <v>161</v>
      </c>
    </row>
    <row r="332" spans="2:51" s="6" customFormat="1" ht="15.75" customHeight="1">
      <c r="B332" s="129"/>
      <c r="E332" s="130"/>
      <c r="F332" s="213" t="s">
        <v>360</v>
      </c>
      <c r="G332" s="214"/>
      <c r="H332" s="214"/>
      <c r="I332" s="214"/>
      <c r="K332" s="131">
        <v>0.666</v>
      </c>
      <c r="N332" s="130"/>
      <c r="R332" s="132"/>
      <c r="T332" s="133"/>
      <c r="AA332" s="134"/>
      <c r="AT332" s="130" t="s">
        <v>168</v>
      </c>
      <c r="AU332" s="130" t="s">
        <v>102</v>
      </c>
      <c r="AV332" s="130" t="s">
        <v>102</v>
      </c>
      <c r="AW332" s="130" t="s">
        <v>112</v>
      </c>
      <c r="AX332" s="130" t="s">
        <v>16</v>
      </c>
      <c r="AY332" s="130" t="s">
        <v>161</v>
      </c>
    </row>
    <row r="333" spans="2:63" s="6" customFormat="1" ht="27" customHeight="1">
      <c r="B333" s="20"/>
      <c r="C333" s="117" t="s">
        <v>367</v>
      </c>
      <c r="D333" s="117" t="s">
        <v>162</v>
      </c>
      <c r="E333" s="118" t="s">
        <v>368</v>
      </c>
      <c r="F333" s="204" t="s">
        <v>369</v>
      </c>
      <c r="G333" s="205"/>
      <c r="H333" s="205"/>
      <c r="I333" s="205"/>
      <c r="J333" s="119" t="s">
        <v>165</v>
      </c>
      <c r="K333" s="120">
        <v>0.666</v>
      </c>
      <c r="L333" s="206">
        <v>0</v>
      </c>
      <c r="M333" s="205"/>
      <c r="N333" s="207">
        <f>ROUND($L$333*$K$333,2)</f>
        <v>0</v>
      </c>
      <c r="O333" s="205"/>
      <c r="P333" s="205"/>
      <c r="Q333" s="205"/>
      <c r="R333" s="21"/>
      <c r="T333" s="121"/>
      <c r="U333" s="27" t="s">
        <v>37</v>
      </c>
      <c r="V333" s="122">
        <v>0.208</v>
      </c>
      <c r="W333" s="122">
        <f>$V$333*$K$333</f>
        <v>0.138528</v>
      </c>
      <c r="X333" s="122">
        <v>0</v>
      </c>
      <c r="Y333" s="122">
        <f>$X$333*$K$333</f>
        <v>0</v>
      </c>
      <c r="Z333" s="122">
        <v>0</v>
      </c>
      <c r="AA333" s="123">
        <f>$Z$333*$K$333</f>
        <v>0</v>
      </c>
      <c r="AR333" s="6" t="s">
        <v>166</v>
      </c>
      <c r="AT333" s="6" t="s">
        <v>162</v>
      </c>
      <c r="AU333" s="6" t="s">
        <v>102</v>
      </c>
      <c r="AY333" s="6" t="s">
        <v>161</v>
      </c>
      <c r="BE333" s="76">
        <f>IF($U$333="základní",$N$333,0)</f>
        <v>0</v>
      </c>
      <c r="BF333" s="76">
        <f>IF($U$333="snížená",$N$333,0)</f>
        <v>0</v>
      </c>
      <c r="BG333" s="76">
        <f>IF($U$333="zákl. přenesená",$N$333,0)</f>
        <v>0</v>
      </c>
      <c r="BH333" s="76">
        <f>IF($U$333="sníž. přenesená",$N$333,0)</f>
        <v>0</v>
      </c>
      <c r="BI333" s="76">
        <f>IF($U$333="nulová",$N$333,0)</f>
        <v>0</v>
      </c>
      <c r="BJ333" s="6" t="s">
        <v>16</v>
      </c>
      <c r="BK333" s="76">
        <f>ROUND($L$333*$K$333,2)</f>
        <v>0</v>
      </c>
    </row>
    <row r="334" spans="2:51" s="6" customFormat="1" ht="15.75" customHeight="1">
      <c r="B334" s="124"/>
      <c r="E334" s="125"/>
      <c r="F334" s="211" t="s">
        <v>215</v>
      </c>
      <c r="G334" s="212"/>
      <c r="H334" s="212"/>
      <c r="I334" s="212"/>
      <c r="K334" s="125"/>
      <c r="N334" s="125"/>
      <c r="R334" s="126"/>
      <c r="T334" s="127"/>
      <c r="AA334" s="128"/>
      <c r="AT334" s="125" t="s">
        <v>168</v>
      </c>
      <c r="AU334" s="125" t="s">
        <v>102</v>
      </c>
      <c r="AV334" s="125" t="s">
        <v>16</v>
      </c>
      <c r="AW334" s="125" t="s">
        <v>112</v>
      </c>
      <c r="AX334" s="125" t="s">
        <v>72</v>
      </c>
      <c r="AY334" s="125" t="s">
        <v>161</v>
      </c>
    </row>
    <row r="335" spans="2:51" s="6" customFormat="1" ht="15.75" customHeight="1">
      <c r="B335" s="129"/>
      <c r="E335" s="130"/>
      <c r="F335" s="213" t="s">
        <v>360</v>
      </c>
      <c r="G335" s="214"/>
      <c r="H335" s="214"/>
      <c r="I335" s="214"/>
      <c r="K335" s="131">
        <v>0.666</v>
      </c>
      <c r="N335" s="130"/>
      <c r="R335" s="132"/>
      <c r="T335" s="133"/>
      <c r="AA335" s="134"/>
      <c r="AT335" s="130" t="s">
        <v>168</v>
      </c>
      <c r="AU335" s="130" t="s">
        <v>102</v>
      </c>
      <c r="AV335" s="130" t="s">
        <v>102</v>
      </c>
      <c r="AW335" s="130" t="s">
        <v>112</v>
      </c>
      <c r="AX335" s="130" t="s">
        <v>16</v>
      </c>
      <c r="AY335" s="130" t="s">
        <v>161</v>
      </c>
    </row>
    <row r="336" spans="2:63" s="6" customFormat="1" ht="15.75" customHeight="1">
      <c r="B336" s="20"/>
      <c r="C336" s="117" t="s">
        <v>370</v>
      </c>
      <c r="D336" s="117" t="s">
        <v>162</v>
      </c>
      <c r="E336" s="118" t="s">
        <v>371</v>
      </c>
      <c r="F336" s="204" t="s">
        <v>372</v>
      </c>
      <c r="G336" s="205"/>
      <c r="H336" s="205"/>
      <c r="I336" s="205"/>
      <c r="J336" s="119" t="s">
        <v>174</v>
      </c>
      <c r="K336" s="120">
        <v>1.476</v>
      </c>
      <c r="L336" s="206">
        <v>0</v>
      </c>
      <c r="M336" s="205"/>
      <c r="N336" s="207">
        <f>ROUND($L$336*$K$336,2)</f>
        <v>0</v>
      </c>
      <c r="O336" s="205"/>
      <c r="P336" s="205"/>
      <c r="Q336" s="205"/>
      <c r="R336" s="21"/>
      <c r="T336" s="121"/>
      <c r="U336" s="27" t="s">
        <v>37</v>
      </c>
      <c r="V336" s="122">
        <v>0.396</v>
      </c>
      <c r="W336" s="122">
        <f>$V$336*$K$336</f>
        <v>0.584496</v>
      </c>
      <c r="X336" s="122">
        <v>0.01352</v>
      </c>
      <c r="Y336" s="122">
        <f>$X$336*$K$336</f>
        <v>0.01995552</v>
      </c>
      <c r="Z336" s="122">
        <v>0</v>
      </c>
      <c r="AA336" s="123">
        <f>$Z$336*$K$336</f>
        <v>0</v>
      </c>
      <c r="AR336" s="6" t="s">
        <v>166</v>
      </c>
      <c r="AT336" s="6" t="s">
        <v>162</v>
      </c>
      <c r="AU336" s="6" t="s">
        <v>102</v>
      </c>
      <c r="AY336" s="6" t="s">
        <v>161</v>
      </c>
      <c r="BE336" s="76">
        <f>IF($U$336="základní",$N$336,0)</f>
        <v>0</v>
      </c>
      <c r="BF336" s="76">
        <f>IF($U$336="snížená",$N$336,0)</f>
        <v>0</v>
      </c>
      <c r="BG336" s="76">
        <f>IF($U$336="zákl. přenesená",$N$336,0)</f>
        <v>0</v>
      </c>
      <c r="BH336" s="76">
        <f>IF($U$336="sníž. přenesená",$N$336,0)</f>
        <v>0</v>
      </c>
      <c r="BI336" s="76">
        <f>IF($U$336="nulová",$N$336,0)</f>
        <v>0</v>
      </c>
      <c r="BJ336" s="6" t="s">
        <v>16</v>
      </c>
      <c r="BK336" s="76">
        <f>ROUND($L$336*$K$336,2)</f>
        <v>0</v>
      </c>
    </row>
    <row r="337" spans="2:51" s="6" customFormat="1" ht="15.75" customHeight="1">
      <c r="B337" s="124"/>
      <c r="E337" s="125"/>
      <c r="F337" s="211" t="s">
        <v>167</v>
      </c>
      <c r="G337" s="212"/>
      <c r="H337" s="212"/>
      <c r="I337" s="212"/>
      <c r="K337" s="125"/>
      <c r="N337" s="125"/>
      <c r="R337" s="126"/>
      <c r="T337" s="127"/>
      <c r="AA337" s="128"/>
      <c r="AT337" s="125" t="s">
        <v>168</v>
      </c>
      <c r="AU337" s="125" t="s">
        <v>102</v>
      </c>
      <c r="AV337" s="125" t="s">
        <v>16</v>
      </c>
      <c r="AW337" s="125" t="s">
        <v>112</v>
      </c>
      <c r="AX337" s="125" t="s">
        <v>72</v>
      </c>
      <c r="AY337" s="125" t="s">
        <v>161</v>
      </c>
    </row>
    <row r="338" spans="2:51" s="6" customFormat="1" ht="15.75" customHeight="1">
      <c r="B338" s="124"/>
      <c r="E338" s="125"/>
      <c r="F338" s="211" t="s">
        <v>215</v>
      </c>
      <c r="G338" s="212"/>
      <c r="H338" s="212"/>
      <c r="I338" s="212"/>
      <c r="K338" s="125"/>
      <c r="N338" s="125"/>
      <c r="R338" s="126"/>
      <c r="T338" s="127"/>
      <c r="AA338" s="128"/>
      <c r="AT338" s="125" t="s">
        <v>168</v>
      </c>
      <c r="AU338" s="125" t="s">
        <v>102</v>
      </c>
      <c r="AV338" s="125" t="s">
        <v>16</v>
      </c>
      <c r="AW338" s="125" t="s">
        <v>112</v>
      </c>
      <c r="AX338" s="125" t="s">
        <v>72</v>
      </c>
      <c r="AY338" s="125" t="s">
        <v>161</v>
      </c>
    </row>
    <row r="339" spans="2:51" s="6" customFormat="1" ht="15.75" customHeight="1">
      <c r="B339" s="129"/>
      <c r="E339" s="130"/>
      <c r="F339" s="213" t="s">
        <v>373</v>
      </c>
      <c r="G339" s="214"/>
      <c r="H339" s="214"/>
      <c r="I339" s="214"/>
      <c r="K339" s="131">
        <v>1.476</v>
      </c>
      <c r="N339" s="130"/>
      <c r="R339" s="132"/>
      <c r="T339" s="133"/>
      <c r="AA339" s="134"/>
      <c r="AT339" s="130" t="s">
        <v>168</v>
      </c>
      <c r="AU339" s="130" t="s">
        <v>102</v>
      </c>
      <c r="AV339" s="130" t="s">
        <v>102</v>
      </c>
      <c r="AW339" s="130" t="s">
        <v>112</v>
      </c>
      <c r="AX339" s="130" t="s">
        <v>16</v>
      </c>
      <c r="AY339" s="130" t="s">
        <v>161</v>
      </c>
    </row>
    <row r="340" spans="2:63" s="6" customFormat="1" ht="15.75" customHeight="1">
      <c r="B340" s="20"/>
      <c r="C340" s="117" t="s">
        <v>374</v>
      </c>
      <c r="D340" s="117" t="s">
        <v>162</v>
      </c>
      <c r="E340" s="118" t="s">
        <v>375</v>
      </c>
      <c r="F340" s="204" t="s">
        <v>376</v>
      </c>
      <c r="G340" s="205"/>
      <c r="H340" s="205"/>
      <c r="I340" s="205"/>
      <c r="J340" s="119" t="s">
        <v>174</v>
      </c>
      <c r="K340" s="120">
        <v>1.476</v>
      </c>
      <c r="L340" s="206">
        <v>0</v>
      </c>
      <c r="M340" s="205"/>
      <c r="N340" s="207">
        <f>ROUND($L$340*$K$340,2)</f>
        <v>0</v>
      </c>
      <c r="O340" s="205"/>
      <c r="P340" s="205"/>
      <c r="Q340" s="205"/>
      <c r="R340" s="21"/>
      <c r="T340" s="121"/>
      <c r="U340" s="27" t="s">
        <v>37</v>
      </c>
      <c r="V340" s="122">
        <v>0.24</v>
      </c>
      <c r="W340" s="122">
        <f>$V$340*$K$340</f>
        <v>0.35424</v>
      </c>
      <c r="X340" s="122">
        <v>0</v>
      </c>
      <c r="Y340" s="122">
        <f>$X$340*$K$340</f>
        <v>0</v>
      </c>
      <c r="Z340" s="122">
        <v>0</v>
      </c>
      <c r="AA340" s="123">
        <f>$Z$340*$K$340</f>
        <v>0</v>
      </c>
      <c r="AR340" s="6" t="s">
        <v>166</v>
      </c>
      <c r="AT340" s="6" t="s">
        <v>162</v>
      </c>
      <c r="AU340" s="6" t="s">
        <v>102</v>
      </c>
      <c r="AY340" s="6" t="s">
        <v>161</v>
      </c>
      <c r="BE340" s="76">
        <f>IF($U$340="základní",$N$340,0)</f>
        <v>0</v>
      </c>
      <c r="BF340" s="76">
        <f>IF($U$340="snížená",$N$340,0)</f>
        <v>0</v>
      </c>
      <c r="BG340" s="76">
        <f>IF($U$340="zákl. přenesená",$N$340,0)</f>
        <v>0</v>
      </c>
      <c r="BH340" s="76">
        <f>IF($U$340="sníž. přenesená",$N$340,0)</f>
        <v>0</v>
      </c>
      <c r="BI340" s="76">
        <f>IF($U$340="nulová",$N$340,0)</f>
        <v>0</v>
      </c>
      <c r="BJ340" s="6" t="s">
        <v>16</v>
      </c>
      <c r="BK340" s="76">
        <f>ROUND($L$340*$K$340,2)</f>
        <v>0</v>
      </c>
    </row>
    <row r="341" spans="2:63" s="6" customFormat="1" ht="15.75" customHeight="1">
      <c r="B341" s="20"/>
      <c r="C341" s="117" t="s">
        <v>377</v>
      </c>
      <c r="D341" s="117" t="s">
        <v>162</v>
      </c>
      <c r="E341" s="118" t="s">
        <v>378</v>
      </c>
      <c r="F341" s="204" t="s">
        <v>379</v>
      </c>
      <c r="G341" s="205"/>
      <c r="H341" s="205"/>
      <c r="I341" s="205"/>
      <c r="J341" s="119" t="s">
        <v>224</v>
      </c>
      <c r="K341" s="120">
        <v>0.047</v>
      </c>
      <c r="L341" s="206">
        <v>0</v>
      </c>
      <c r="M341" s="205"/>
      <c r="N341" s="207">
        <f>ROUND($L$341*$K$341,2)</f>
        <v>0</v>
      </c>
      <c r="O341" s="205"/>
      <c r="P341" s="205"/>
      <c r="Q341" s="205"/>
      <c r="R341" s="21"/>
      <c r="T341" s="121"/>
      <c r="U341" s="27" t="s">
        <v>37</v>
      </c>
      <c r="V341" s="122">
        <v>15.231</v>
      </c>
      <c r="W341" s="122">
        <f>$V$341*$K$341</f>
        <v>0.715857</v>
      </c>
      <c r="X341" s="122">
        <v>1.05306</v>
      </c>
      <c r="Y341" s="122">
        <f>$X$341*$K$341</f>
        <v>0.04949382000000001</v>
      </c>
      <c r="Z341" s="122">
        <v>0</v>
      </c>
      <c r="AA341" s="123">
        <f>$Z$341*$K$341</f>
        <v>0</v>
      </c>
      <c r="AR341" s="6" t="s">
        <v>166</v>
      </c>
      <c r="AT341" s="6" t="s">
        <v>162</v>
      </c>
      <c r="AU341" s="6" t="s">
        <v>102</v>
      </c>
      <c r="AY341" s="6" t="s">
        <v>161</v>
      </c>
      <c r="BE341" s="76">
        <f>IF($U$341="základní",$N$341,0)</f>
        <v>0</v>
      </c>
      <c r="BF341" s="76">
        <f>IF($U$341="snížená",$N$341,0)</f>
        <v>0</v>
      </c>
      <c r="BG341" s="76">
        <f>IF($U$341="zákl. přenesená",$N$341,0)</f>
        <v>0</v>
      </c>
      <c r="BH341" s="76">
        <f>IF($U$341="sníž. přenesená",$N$341,0)</f>
        <v>0</v>
      </c>
      <c r="BI341" s="76">
        <f>IF($U$341="nulová",$N$341,0)</f>
        <v>0</v>
      </c>
      <c r="BJ341" s="6" t="s">
        <v>16</v>
      </c>
      <c r="BK341" s="76">
        <f>ROUND($L$341*$K$341,2)</f>
        <v>0</v>
      </c>
    </row>
    <row r="342" spans="2:51" s="6" customFormat="1" ht="15.75" customHeight="1">
      <c r="B342" s="124"/>
      <c r="E342" s="125"/>
      <c r="F342" s="211" t="s">
        <v>167</v>
      </c>
      <c r="G342" s="212"/>
      <c r="H342" s="212"/>
      <c r="I342" s="212"/>
      <c r="K342" s="125"/>
      <c r="N342" s="125"/>
      <c r="R342" s="126"/>
      <c r="T342" s="127"/>
      <c r="AA342" s="128"/>
      <c r="AT342" s="125" t="s">
        <v>168</v>
      </c>
      <c r="AU342" s="125" t="s">
        <v>102</v>
      </c>
      <c r="AV342" s="125" t="s">
        <v>16</v>
      </c>
      <c r="AW342" s="125" t="s">
        <v>112</v>
      </c>
      <c r="AX342" s="125" t="s">
        <v>72</v>
      </c>
      <c r="AY342" s="125" t="s">
        <v>161</v>
      </c>
    </row>
    <row r="343" spans="2:51" s="6" customFormat="1" ht="15.75" customHeight="1">
      <c r="B343" s="124"/>
      <c r="E343" s="125"/>
      <c r="F343" s="211" t="s">
        <v>215</v>
      </c>
      <c r="G343" s="212"/>
      <c r="H343" s="212"/>
      <c r="I343" s="212"/>
      <c r="K343" s="125"/>
      <c r="N343" s="125"/>
      <c r="R343" s="126"/>
      <c r="T343" s="127"/>
      <c r="AA343" s="128"/>
      <c r="AT343" s="125" t="s">
        <v>168</v>
      </c>
      <c r="AU343" s="125" t="s">
        <v>102</v>
      </c>
      <c r="AV343" s="125" t="s">
        <v>16</v>
      </c>
      <c r="AW343" s="125" t="s">
        <v>112</v>
      </c>
      <c r="AX343" s="125" t="s">
        <v>72</v>
      </c>
      <c r="AY343" s="125" t="s">
        <v>161</v>
      </c>
    </row>
    <row r="344" spans="2:51" s="6" customFormat="1" ht="15.75" customHeight="1">
      <c r="B344" s="129"/>
      <c r="E344" s="130"/>
      <c r="F344" s="213" t="s">
        <v>380</v>
      </c>
      <c r="G344" s="214"/>
      <c r="H344" s="214"/>
      <c r="I344" s="214"/>
      <c r="K344" s="131">
        <v>0.047</v>
      </c>
      <c r="N344" s="130"/>
      <c r="R344" s="132"/>
      <c r="T344" s="133"/>
      <c r="AA344" s="134"/>
      <c r="AT344" s="130" t="s">
        <v>168</v>
      </c>
      <c r="AU344" s="130" t="s">
        <v>102</v>
      </c>
      <c r="AV344" s="130" t="s">
        <v>102</v>
      </c>
      <c r="AW344" s="130" t="s">
        <v>112</v>
      </c>
      <c r="AX344" s="130" t="s">
        <v>16</v>
      </c>
      <c r="AY344" s="130" t="s">
        <v>161</v>
      </c>
    </row>
    <row r="345" spans="2:63" s="107" customFormat="1" ht="30.75" customHeight="1">
      <c r="B345" s="108"/>
      <c r="D345" s="116" t="s">
        <v>119</v>
      </c>
      <c r="N345" s="222">
        <f>$BK$345</f>
        <v>0</v>
      </c>
      <c r="O345" s="210"/>
      <c r="P345" s="210"/>
      <c r="Q345" s="210"/>
      <c r="R345" s="111"/>
      <c r="T345" s="112"/>
      <c r="W345" s="113">
        <f>$W$346+SUM($W$347:$W$448)</f>
        <v>916.168562</v>
      </c>
      <c r="Y345" s="113">
        <f>$Y$346+SUM($Y$347:$Y$448)</f>
        <v>0.0801754</v>
      </c>
      <c r="AA345" s="114">
        <f>$AA$346+SUM($AA$347:$AA$448)</f>
        <v>28.820122</v>
      </c>
      <c r="AR345" s="110" t="s">
        <v>16</v>
      </c>
      <c r="AT345" s="110" t="s">
        <v>71</v>
      </c>
      <c r="AU345" s="110" t="s">
        <v>16</v>
      </c>
      <c r="AY345" s="110" t="s">
        <v>161</v>
      </c>
      <c r="BK345" s="115">
        <f>$BK$346+SUM($BK$347:$BK$448)</f>
        <v>0</v>
      </c>
    </row>
    <row r="346" spans="2:63" s="6" customFormat="1" ht="27" customHeight="1">
      <c r="B346" s="20"/>
      <c r="C346" s="117" t="s">
        <v>381</v>
      </c>
      <c r="D346" s="117" t="s">
        <v>162</v>
      </c>
      <c r="E346" s="118" t="s">
        <v>382</v>
      </c>
      <c r="F346" s="204" t="s">
        <v>383</v>
      </c>
      <c r="G346" s="205"/>
      <c r="H346" s="205"/>
      <c r="I346" s="205"/>
      <c r="J346" s="119" t="s">
        <v>165</v>
      </c>
      <c r="K346" s="120">
        <v>37.026</v>
      </c>
      <c r="L346" s="206">
        <v>0</v>
      </c>
      <c r="M346" s="205"/>
      <c r="N346" s="207">
        <f>ROUND($L$346*$K$346,2)</f>
        <v>0</v>
      </c>
      <c r="O346" s="205"/>
      <c r="P346" s="205"/>
      <c r="Q346" s="205"/>
      <c r="R346" s="21"/>
      <c r="T346" s="121"/>
      <c r="U346" s="27" t="s">
        <v>37</v>
      </c>
      <c r="V346" s="122">
        <v>0.106</v>
      </c>
      <c r="W346" s="122">
        <f>$V$346*$K$346</f>
        <v>3.9247560000000004</v>
      </c>
      <c r="X346" s="122">
        <v>0</v>
      </c>
      <c r="Y346" s="122">
        <f>$X$346*$K$346</f>
        <v>0</v>
      </c>
      <c r="Z346" s="122">
        <v>0</v>
      </c>
      <c r="AA346" s="123">
        <f>$Z$346*$K$346</f>
        <v>0</v>
      </c>
      <c r="AR346" s="6" t="s">
        <v>166</v>
      </c>
      <c r="AT346" s="6" t="s">
        <v>162</v>
      </c>
      <c r="AU346" s="6" t="s">
        <v>102</v>
      </c>
      <c r="AY346" s="6" t="s">
        <v>161</v>
      </c>
      <c r="BE346" s="76">
        <f>IF($U$346="základní",$N$346,0)</f>
        <v>0</v>
      </c>
      <c r="BF346" s="76">
        <f>IF($U$346="snížená",$N$346,0)</f>
        <v>0</v>
      </c>
      <c r="BG346" s="76">
        <f>IF($U$346="zákl. přenesená",$N$346,0)</f>
        <v>0</v>
      </c>
      <c r="BH346" s="76">
        <f>IF($U$346="sníž. přenesená",$N$346,0)</f>
        <v>0</v>
      </c>
      <c r="BI346" s="76">
        <f>IF($U$346="nulová",$N$346,0)</f>
        <v>0</v>
      </c>
      <c r="BJ346" s="6" t="s">
        <v>16</v>
      </c>
      <c r="BK346" s="76">
        <f>ROUND($L$346*$K$346,2)</f>
        <v>0</v>
      </c>
    </row>
    <row r="347" spans="2:51" s="6" customFormat="1" ht="15.75" customHeight="1">
      <c r="B347" s="129"/>
      <c r="E347" s="130"/>
      <c r="F347" s="213" t="s">
        <v>384</v>
      </c>
      <c r="G347" s="214"/>
      <c r="H347" s="214"/>
      <c r="I347" s="214"/>
      <c r="K347" s="131">
        <v>37.026</v>
      </c>
      <c r="N347" s="130"/>
      <c r="R347" s="132"/>
      <c r="T347" s="133"/>
      <c r="AA347" s="134"/>
      <c r="AT347" s="130" t="s">
        <v>168</v>
      </c>
      <c r="AU347" s="130" t="s">
        <v>102</v>
      </c>
      <c r="AV347" s="130" t="s">
        <v>102</v>
      </c>
      <c r="AW347" s="130" t="s">
        <v>112</v>
      </c>
      <c r="AX347" s="130" t="s">
        <v>72</v>
      </c>
      <c r="AY347" s="130" t="s">
        <v>161</v>
      </c>
    </row>
    <row r="348" spans="2:51" s="6" customFormat="1" ht="15.75" customHeight="1">
      <c r="B348" s="135"/>
      <c r="E348" s="136" t="s">
        <v>103</v>
      </c>
      <c r="F348" s="215" t="s">
        <v>171</v>
      </c>
      <c r="G348" s="216"/>
      <c r="H348" s="216"/>
      <c r="I348" s="216"/>
      <c r="K348" s="137">
        <v>37.026</v>
      </c>
      <c r="N348" s="136"/>
      <c r="R348" s="138"/>
      <c r="T348" s="139"/>
      <c r="AA348" s="140"/>
      <c r="AT348" s="136" t="s">
        <v>168</v>
      </c>
      <c r="AU348" s="136" t="s">
        <v>102</v>
      </c>
      <c r="AV348" s="136" t="s">
        <v>166</v>
      </c>
      <c r="AW348" s="136" t="s">
        <v>112</v>
      </c>
      <c r="AX348" s="136" t="s">
        <v>16</v>
      </c>
      <c r="AY348" s="136" t="s">
        <v>161</v>
      </c>
    </row>
    <row r="349" spans="2:63" s="6" customFormat="1" ht="39" customHeight="1">
      <c r="B349" s="20"/>
      <c r="C349" s="117" t="s">
        <v>385</v>
      </c>
      <c r="D349" s="117" t="s">
        <v>162</v>
      </c>
      <c r="E349" s="118" t="s">
        <v>386</v>
      </c>
      <c r="F349" s="204" t="s">
        <v>387</v>
      </c>
      <c r="G349" s="205"/>
      <c r="H349" s="205"/>
      <c r="I349" s="205"/>
      <c r="J349" s="119" t="s">
        <v>165</v>
      </c>
      <c r="K349" s="120">
        <v>37.026</v>
      </c>
      <c r="L349" s="206">
        <v>0</v>
      </c>
      <c r="M349" s="205"/>
      <c r="N349" s="207">
        <f>ROUND($L$349*$K$349,2)</f>
        <v>0</v>
      </c>
      <c r="O349" s="205"/>
      <c r="P349" s="205"/>
      <c r="Q349" s="205"/>
      <c r="R349" s="21"/>
      <c r="T349" s="121"/>
      <c r="U349" s="27" t="s">
        <v>37</v>
      </c>
      <c r="V349" s="122">
        <v>0.007</v>
      </c>
      <c r="W349" s="122">
        <f>$V$349*$K$349</f>
        <v>0.259182</v>
      </c>
      <c r="X349" s="122">
        <v>0</v>
      </c>
      <c r="Y349" s="122">
        <f>$X$349*$K$349</f>
        <v>0</v>
      </c>
      <c r="Z349" s="122">
        <v>0</v>
      </c>
      <c r="AA349" s="123">
        <f>$Z$349*$K$349</f>
        <v>0</v>
      </c>
      <c r="AR349" s="6" t="s">
        <v>166</v>
      </c>
      <c r="AT349" s="6" t="s">
        <v>162</v>
      </c>
      <c r="AU349" s="6" t="s">
        <v>102</v>
      </c>
      <c r="AY349" s="6" t="s">
        <v>161</v>
      </c>
      <c r="BE349" s="76">
        <f>IF($U$349="základní",$N$349,0)</f>
        <v>0</v>
      </c>
      <c r="BF349" s="76">
        <f>IF($U$349="snížená",$N$349,0)</f>
        <v>0</v>
      </c>
      <c r="BG349" s="76">
        <f>IF($U$349="zákl. přenesená",$N$349,0)</f>
        <v>0</v>
      </c>
      <c r="BH349" s="76">
        <f>IF($U$349="sníž. přenesená",$N$349,0)</f>
        <v>0</v>
      </c>
      <c r="BI349" s="76">
        <f>IF($U$349="nulová",$N$349,0)</f>
        <v>0</v>
      </c>
      <c r="BJ349" s="6" t="s">
        <v>16</v>
      </c>
      <c r="BK349" s="76">
        <f>ROUND($L$349*$K$349,2)</f>
        <v>0</v>
      </c>
    </row>
    <row r="350" spans="2:51" s="6" customFormat="1" ht="15.75" customHeight="1">
      <c r="B350" s="129"/>
      <c r="E350" s="130"/>
      <c r="F350" s="213" t="s">
        <v>103</v>
      </c>
      <c r="G350" s="214"/>
      <c r="H350" s="214"/>
      <c r="I350" s="214"/>
      <c r="K350" s="131">
        <v>37.026</v>
      </c>
      <c r="N350" s="130"/>
      <c r="R350" s="132"/>
      <c r="T350" s="133"/>
      <c r="AA350" s="134"/>
      <c r="AT350" s="130" t="s">
        <v>168</v>
      </c>
      <c r="AU350" s="130" t="s">
        <v>102</v>
      </c>
      <c r="AV350" s="130" t="s">
        <v>102</v>
      </c>
      <c r="AW350" s="130" t="s">
        <v>112</v>
      </c>
      <c r="AX350" s="130" t="s">
        <v>16</v>
      </c>
      <c r="AY350" s="130" t="s">
        <v>161</v>
      </c>
    </row>
    <row r="351" spans="2:63" s="6" customFormat="1" ht="39" customHeight="1">
      <c r="B351" s="20"/>
      <c r="C351" s="117" t="s">
        <v>388</v>
      </c>
      <c r="D351" s="117" t="s">
        <v>162</v>
      </c>
      <c r="E351" s="118" t="s">
        <v>389</v>
      </c>
      <c r="F351" s="204" t="s">
        <v>390</v>
      </c>
      <c r="G351" s="205"/>
      <c r="H351" s="205"/>
      <c r="I351" s="205"/>
      <c r="J351" s="119" t="s">
        <v>165</v>
      </c>
      <c r="K351" s="120">
        <v>1110.78</v>
      </c>
      <c r="L351" s="206">
        <v>0</v>
      </c>
      <c r="M351" s="205"/>
      <c r="N351" s="207">
        <f>ROUND($L$351*$K$351,2)</f>
        <v>0</v>
      </c>
      <c r="O351" s="205"/>
      <c r="P351" s="205"/>
      <c r="Q351" s="205"/>
      <c r="R351" s="21"/>
      <c r="T351" s="121"/>
      <c r="U351" s="27" t="s">
        <v>37</v>
      </c>
      <c r="V351" s="122">
        <v>0</v>
      </c>
      <c r="W351" s="122">
        <f>$V$351*$K$351</f>
        <v>0</v>
      </c>
      <c r="X351" s="122">
        <v>0</v>
      </c>
      <c r="Y351" s="122">
        <f>$X$351*$K$351</f>
        <v>0</v>
      </c>
      <c r="Z351" s="122">
        <v>0</v>
      </c>
      <c r="AA351" s="123">
        <f>$Z$351*$K$351</f>
        <v>0</v>
      </c>
      <c r="AR351" s="6" t="s">
        <v>166</v>
      </c>
      <c r="AT351" s="6" t="s">
        <v>162</v>
      </c>
      <c r="AU351" s="6" t="s">
        <v>102</v>
      </c>
      <c r="AY351" s="6" t="s">
        <v>161</v>
      </c>
      <c r="BE351" s="76">
        <f>IF($U$351="základní",$N$351,0)</f>
        <v>0</v>
      </c>
      <c r="BF351" s="76">
        <f>IF($U$351="snížená",$N$351,0)</f>
        <v>0</v>
      </c>
      <c r="BG351" s="76">
        <f>IF($U$351="zákl. přenesená",$N$351,0)</f>
        <v>0</v>
      </c>
      <c r="BH351" s="76">
        <f>IF($U$351="sníž. přenesená",$N$351,0)</f>
        <v>0</v>
      </c>
      <c r="BI351" s="76">
        <f>IF($U$351="nulová",$N$351,0)</f>
        <v>0</v>
      </c>
      <c r="BJ351" s="6" t="s">
        <v>16</v>
      </c>
      <c r="BK351" s="76">
        <f>ROUND($L$351*$K$351,2)</f>
        <v>0</v>
      </c>
    </row>
    <row r="352" spans="2:51" s="6" customFormat="1" ht="15.75" customHeight="1">
      <c r="B352" s="129"/>
      <c r="E352" s="130"/>
      <c r="F352" s="213" t="s">
        <v>391</v>
      </c>
      <c r="G352" s="214"/>
      <c r="H352" s="214"/>
      <c r="I352" s="214"/>
      <c r="K352" s="131">
        <v>1110.78</v>
      </c>
      <c r="N352" s="130"/>
      <c r="R352" s="132"/>
      <c r="T352" s="133"/>
      <c r="AA352" s="134"/>
      <c r="AT352" s="130" t="s">
        <v>168</v>
      </c>
      <c r="AU352" s="130" t="s">
        <v>102</v>
      </c>
      <c r="AV352" s="130" t="s">
        <v>102</v>
      </c>
      <c r="AW352" s="130" t="s">
        <v>112</v>
      </c>
      <c r="AX352" s="130" t="s">
        <v>16</v>
      </c>
      <c r="AY352" s="130" t="s">
        <v>161</v>
      </c>
    </row>
    <row r="353" spans="2:63" s="6" customFormat="1" ht="27" customHeight="1">
      <c r="B353" s="20"/>
      <c r="C353" s="117" t="s">
        <v>392</v>
      </c>
      <c r="D353" s="117" t="s">
        <v>162</v>
      </c>
      <c r="E353" s="118" t="s">
        <v>393</v>
      </c>
      <c r="F353" s="204" t="s">
        <v>394</v>
      </c>
      <c r="G353" s="205"/>
      <c r="H353" s="205"/>
      <c r="I353" s="205"/>
      <c r="J353" s="119" t="s">
        <v>165</v>
      </c>
      <c r="K353" s="120">
        <v>37.026</v>
      </c>
      <c r="L353" s="206">
        <v>0</v>
      </c>
      <c r="M353" s="205"/>
      <c r="N353" s="207">
        <f>ROUND($L$353*$K$353,2)</f>
        <v>0</v>
      </c>
      <c r="O353" s="205"/>
      <c r="P353" s="205"/>
      <c r="Q353" s="205"/>
      <c r="R353" s="21"/>
      <c r="T353" s="121"/>
      <c r="U353" s="27" t="s">
        <v>37</v>
      </c>
      <c r="V353" s="122">
        <v>0.089</v>
      </c>
      <c r="W353" s="122">
        <f>$V$353*$K$353</f>
        <v>3.2953140000000003</v>
      </c>
      <c r="X353" s="122">
        <v>0</v>
      </c>
      <c r="Y353" s="122">
        <f>$X$353*$K$353</f>
        <v>0</v>
      </c>
      <c r="Z353" s="122">
        <v>0</v>
      </c>
      <c r="AA353" s="123">
        <f>$Z$353*$K$353</f>
        <v>0</v>
      </c>
      <c r="AR353" s="6" t="s">
        <v>166</v>
      </c>
      <c r="AT353" s="6" t="s">
        <v>162</v>
      </c>
      <c r="AU353" s="6" t="s">
        <v>102</v>
      </c>
      <c r="AY353" s="6" t="s">
        <v>161</v>
      </c>
      <c r="BE353" s="76">
        <f>IF($U$353="základní",$N$353,0)</f>
        <v>0</v>
      </c>
      <c r="BF353" s="76">
        <f>IF($U$353="snížená",$N$353,0)</f>
        <v>0</v>
      </c>
      <c r="BG353" s="76">
        <f>IF($U$353="zákl. přenesená",$N$353,0)</f>
        <v>0</v>
      </c>
      <c r="BH353" s="76">
        <f>IF($U$353="sníž. přenesená",$N$353,0)</f>
        <v>0</v>
      </c>
      <c r="BI353" s="76">
        <f>IF($U$353="nulová",$N$353,0)</f>
        <v>0</v>
      </c>
      <c r="BJ353" s="6" t="s">
        <v>16</v>
      </c>
      <c r="BK353" s="76">
        <f>ROUND($L$353*$K$353,2)</f>
        <v>0</v>
      </c>
    </row>
    <row r="354" spans="2:51" s="6" customFormat="1" ht="15.75" customHeight="1">
      <c r="B354" s="129"/>
      <c r="E354" s="130"/>
      <c r="F354" s="213" t="s">
        <v>103</v>
      </c>
      <c r="G354" s="214"/>
      <c r="H354" s="214"/>
      <c r="I354" s="214"/>
      <c r="K354" s="131">
        <v>37.026</v>
      </c>
      <c r="N354" s="130"/>
      <c r="R354" s="132"/>
      <c r="T354" s="133"/>
      <c r="AA354" s="134"/>
      <c r="AT354" s="130" t="s">
        <v>168</v>
      </c>
      <c r="AU354" s="130" t="s">
        <v>102</v>
      </c>
      <c r="AV354" s="130" t="s">
        <v>102</v>
      </c>
      <c r="AW354" s="130" t="s">
        <v>112</v>
      </c>
      <c r="AX354" s="130" t="s">
        <v>16</v>
      </c>
      <c r="AY354" s="130" t="s">
        <v>161</v>
      </c>
    </row>
    <row r="355" spans="2:63" s="6" customFormat="1" ht="39" customHeight="1">
      <c r="B355" s="20"/>
      <c r="C355" s="117" t="s">
        <v>395</v>
      </c>
      <c r="D355" s="117" t="s">
        <v>162</v>
      </c>
      <c r="E355" s="118" t="s">
        <v>396</v>
      </c>
      <c r="F355" s="204" t="s">
        <v>397</v>
      </c>
      <c r="G355" s="205"/>
      <c r="H355" s="205"/>
      <c r="I355" s="205"/>
      <c r="J355" s="119" t="s">
        <v>174</v>
      </c>
      <c r="K355" s="120">
        <v>81.6</v>
      </c>
      <c r="L355" s="206">
        <v>0</v>
      </c>
      <c r="M355" s="205"/>
      <c r="N355" s="207">
        <f>ROUND($L$355*$K$355,2)</f>
        <v>0</v>
      </c>
      <c r="O355" s="205"/>
      <c r="P355" s="205"/>
      <c r="Q355" s="205"/>
      <c r="R355" s="21"/>
      <c r="T355" s="121"/>
      <c r="U355" s="27" t="s">
        <v>37</v>
      </c>
      <c r="V355" s="122">
        <v>0.126</v>
      </c>
      <c r="W355" s="122">
        <f>$V$355*$K$355</f>
        <v>10.2816</v>
      </c>
      <c r="X355" s="122">
        <v>0.00021</v>
      </c>
      <c r="Y355" s="122">
        <f>$X$355*$K$355</f>
        <v>0.017136</v>
      </c>
      <c r="Z355" s="122">
        <v>0</v>
      </c>
      <c r="AA355" s="123">
        <f>$Z$355*$K$355</f>
        <v>0</v>
      </c>
      <c r="AR355" s="6" t="s">
        <v>166</v>
      </c>
      <c r="AT355" s="6" t="s">
        <v>162</v>
      </c>
      <c r="AU355" s="6" t="s">
        <v>102</v>
      </c>
      <c r="AY355" s="6" t="s">
        <v>161</v>
      </c>
      <c r="BE355" s="76">
        <f>IF($U$355="základní",$N$355,0)</f>
        <v>0</v>
      </c>
      <c r="BF355" s="76">
        <f>IF($U$355="snížená",$N$355,0)</f>
        <v>0</v>
      </c>
      <c r="BG355" s="76">
        <f>IF($U$355="zákl. přenesená",$N$355,0)</f>
        <v>0</v>
      </c>
      <c r="BH355" s="76">
        <f>IF($U$355="sníž. přenesená",$N$355,0)</f>
        <v>0</v>
      </c>
      <c r="BI355" s="76">
        <f>IF($U$355="nulová",$N$355,0)</f>
        <v>0</v>
      </c>
      <c r="BJ355" s="6" t="s">
        <v>16</v>
      </c>
      <c r="BK355" s="76">
        <f>ROUND($L$355*$K$355,2)</f>
        <v>0</v>
      </c>
    </row>
    <row r="356" spans="2:51" s="6" customFormat="1" ht="15.75" customHeight="1">
      <c r="B356" s="129"/>
      <c r="E356" s="130"/>
      <c r="F356" s="213" t="s">
        <v>398</v>
      </c>
      <c r="G356" s="214"/>
      <c r="H356" s="214"/>
      <c r="I356" s="214"/>
      <c r="K356" s="131">
        <v>36</v>
      </c>
      <c r="N356" s="130"/>
      <c r="R356" s="132"/>
      <c r="T356" s="133"/>
      <c r="AA356" s="134"/>
      <c r="AT356" s="130" t="s">
        <v>168</v>
      </c>
      <c r="AU356" s="130" t="s">
        <v>102</v>
      </c>
      <c r="AV356" s="130" t="s">
        <v>102</v>
      </c>
      <c r="AW356" s="130" t="s">
        <v>112</v>
      </c>
      <c r="AX356" s="130" t="s">
        <v>72</v>
      </c>
      <c r="AY356" s="130" t="s">
        <v>161</v>
      </c>
    </row>
    <row r="357" spans="2:51" s="6" customFormat="1" ht="15.75" customHeight="1">
      <c r="B357" s="129"/>
      <c r="E357" s="130"/>
      <c r="F357" s="213" t="s">
        <v>399</v>
      </c>
      <c r="G357" s="214"/>
      <c r="H357" s="214"/>
      <c r="I357" s="214"/>
      <c r="K357" s="131">
        <v>45.6</v>
      </c>
      <c r="N357" s="130"/>
      <c r="R357" s="132"/>
      <c r="T357" s="133"/>
      <c r="AA357" s="134"/>
      <c r="AT357" s="130" t="s">
        <v>168</v>
      </c>
      <c r="AU357" s="130" t="s">
        <v>102</v>
      </c>
      <c r="AV357" s="130" t="s">
        <v>102</v>
      </c>
      <c r="AW357" s="130" t="s">
        <v>112</v>
      </c>
      <c r="AX357" s="130" t="s">
        <v>72</v>
      </c>
      <c r="AY357" s="130" t="s">
        <v>161</v>
      </c>
    </row>
    <row r="358" spans="2:51" s="6" customFormat="1" ht="15.75" customHeight="1">
      <c r="B358" s="135"/>
      <c r="E358" s="136"/>
      <c r="F358" s="215" t="s">
        <v>171</v>
      </c>
      <c r="G358" s="216"/>
      <c r="H358" s="216"/>
      <c r="I358" s="216"/>
      <c r="K358" s="137">
        <v>81.6</v>
      </c>
      <c r="N358" s="136"/>
      <c r="R358" s="138"/>
      <c r="T358" s="139"/>
      <c r="AA358" s="140"/>
      <c r="AT358" s="136" t="s">
        <v>168</v>
      </c>
      <c r="AU358" s="136" t="s">
        <v>102</v>
      </c>
      <c r="AV358" s="136" t="s">
        <v>166</v>
      </c>
      <c r="AW358" s="136" t="s">
        <v>112</v>
      </c>
      <c r="AX358" s="136" t="s">
        <v>16</v>
      </c>
      <c r="AY358" s="136" t="s">
        <v>161</v>
      </c>
    </row>
    <row r="359" spans="2:63" s="6" customFormat="1" ht="27" customHeight="1">
      <c r="B359" s="20"/>
      <c r="C359" s="117" t="s">
        <v>400</v>
      </c>
      <c r="D359" s="117" t="s">
        <v>162</v>
      </c>
      <c r="E359" s="118" t="s">
        <v>401</v>
      </c>
      <c r="F359" s="204" t="s">
        <v>402</v>
      </c>
      <c r="G359" s="205"/>
      <c r="H359" s="205"/>
      <c r="I359" s="205"/>
      <c r="J359" s="119" t="s">
        <v>174</v>
      </c>
      <c r="K359" s="120">
        <v>951.36</v>
      </c>
      <c r="L359" s="206">
        <v>0</v>
      </c>
      <c r="M359" s="205"/>
      <c r="N359" s="207">
        <f>ROUND($L$359*$K$359,2)</f>
        <v>0</v>
      </c>
      <c r="O359" s="205"/>
      <c r="P359" s="205"/>
      <c r="Q359" s="205"/>
      <c r="R359" s="21"/>
      <c r="T359" s="121"/>
      <c r="U359" s="27" t="s">
        <v>37</v>
      </c>
      <c r="V359" s="122">
        <v>0.354</v>
      </c>
      <c r="W359" s="122">
        <f>$V$359*$K$359</f>
        <v>336.78144</v>
      </c>
      <c r="X359" s="122">
        <v>4E-05</v>
      </c>
      <c r="Y359" s="122">
        <f>$X$359*$K$359</f>
        <v>0.0380544</v>
      </c>
      <c r="Z359" s="122">
        <v>0</v>
      </c>
      <c r="AA359" s="123">
        <f>$Z$359*$K$359</f>
        <v>0</v>
      </c>
      <c r="AR359" s="6" t="s">
        <v>166</v>
      </c>
      <c r="AT359" s="6" t="s">
        <v>162</v>
      </c>
      <c r="AU359" s="6" t="s">
        <v>102</v>
      </c>
      <c r="AY359" s="6" t="s">
        <v>161</v>
      </c>
      <c r="BE359" s="76">
        <f>IF($U$359="základní",$N$359,0)</f>
        <v>0</v>
      </c>
      <c r="BF359" s="76">
        <f>IF($U$359="snížená",$N$359,0)</f>
        <v>0</v>
      </c>
      <c r="BG359" s="76">
        <f>IF($U$359="zákl. přenesená",$N$359,0)</f>
        <v>0</v>
      </c>
      <c r="BH359" s="76">
        <f>IF($U$359="sníž. přenesená",$N$359,0)</f>
        <v>0</v>
      </c>
      <c r="BI359" s="76">
        <f>IF($U$359="nulová",$N$359,0)</f>
        <v>0</v>
      </c>
      <c r="BJ359" s="6" t="s">
        <v>16</v>
      </c>
      <c r="BK359" s="76">
        <f>ROUND($L$359*$K$359,2)</f>
        <v>0</v>
      </c>
    </row>
    <row r="360" spans="2:51" s="6" customFormat="1" ht="15.75" customHeight="1">
      <c r="B360" s="124"/>
      <c r="E360" s="125"/>
      <c r="F360" s="211" t="s">
        <v>310</v>
      </c>
      <c r="G360" s="212"/>
      <c r="H360" s="212"/>
      <c r="I360" s="212"/>
      <c r="K360" s="125"/>
      <c r="N360" s="125"/>
      <c r="R360" s="126"/>
      <c r="T360" s="127"/>
      <c r="AA360" s="128"/>
      <c r="AT360" s="125" t="s">
        <v>168</v>
      </c>
      <c r="AU360" s="125" t="s">
        <v>102</v>
      </c>
      <c r="AV360" s="125" t="s">
        <v>16</v>
      </c>
      <c r="AW360" s="125" t="s">
        <v>112</v>
      </c>
      <c r="AX360" s="125" t="s">
        <v>72</v>
      </c>
      <c r="AY360" s="125" t="s">
        <v>161</v>
      </c>
    </row>
    <row r="361" spans="2:51" s="6" customFormat="1" ht="15.75" customHeight="1">
      <c r="B361" s="129"/>
      <c r="E361" s="130"/>
      <c r="F361" s="213" t="s">
        <v>403</v>
      </c>
      <c r="G361" s="214"/>
      <c r="H361" s="214"/>
      <c r="I361" s="214"/>
      <c r="K361" s="131">
        <v>187.2</v>
      </c>
      <c r="N361" s="130"/>
      <c r="R361" s="132"/>
      <c r="T361" s="133"/>
      <c r="AA361" s="134"/>
      <c r="AT361" s="130" t="s">
        <v>168</v>
      </c>
      <c r="AU361" s="130" t="s">
        <v>102</v>
      </c>
      <c r="AV361" s="130" t="s">
        <v>102</v>
      </c>
      <c r="AW361" s="130" t="s">
        <v>112</v>
      </c>
      <c r="AX361" s="130" t="s">
        <v>72</v>
      </c>
      <c r="AY361" s="130" t="s">
        <v>161</v>
      </c>
    </row>
    <row r="362" spans="2:51" s="6" customFormat="1" ht="15.75" customHeight="1">
      <c r="B362" s="129"/>
      <c r="E362" s="130"/>
      <c r="F362" s="213" t="s">
        <v>404</v>
      </c>
      <c r="G362" s="214"/>
      <c r="H362" s="214"/>
      <c r="I362" s="214"/>
      <c r="K362" s="131">
        <v>164.16</v>
      </c>
      <c r="N362" s="130"/>
      <c r="R362" s="132"/>
      <c r="T362" s="133"/>
      <c r="AA362" s="134"/>
      <c r="AT362" s="130" t="s">
        <v>168</v>
      </c>
      <c r="AU362" s="130" t="s">
        <v>102</v>
      </c>
      <c r="AV362" s="130" t="s">
        <v>102</v>
      </c>
      <c r="AW362" s="130" t="s">
        <v>112</v>
      </c>
      <c r="AX362" s="130" t="s">
        <v>72</v>
      </c>
      <c r="AY362" s="130" t="s">
        <v>161</v>
      </c>
    </row>
    <row r="363" spans="2:51" s="6" customFormat="1" ht="15.75" customHeight="1">
      <c r="B363" s="129"/>
      <c r="E363" s="130"/>
      <c r="F363" s="213" t="s">
        <v>405</v>
      </c>
      <c r="G363" s="214"/>
      <c r="H363" s="214"/>
      <c r="I363" s="214"/>
      <c r="K363" s="131">
        <v>600</v>
      </c>
      <c r="N363" s="130"/>
      <c r="R363" s="132"/>
      <c r="T363" s="133"/>
      <c r="AA363" s="134"/>
      <c r="AT363" s="130" t="s">
        <v>168</v>
      </c>
      <c r="AU363" s="130" t="s">
        <v>102</v>
      </c>
      <c r="AV363" s="130" t="s">
        <v>102</v>
      </c>
      <c r="AW363" s="130" t="s">
        <v>112</v>
      </c>
      <c r="AX363" s="130" t="s">
        <v>72</v>
      </c>
      <c r="AY363" s="130" t="s">
        <v>161</v>
      </c>
    </row>
    <row r="364" spans="2:51" s="6" customFormat="1" ht="15.75" customHeight="1">
      <c r="B364" s="135"/>
      <c r="E364" s="136"/>
      <c r="F364" s="215" t="s">
        <v>171</v>
      </c>
      <c r="G364" s="216"/>
      <c r="H364" s="216"/>
      <c r="I364" s="216"/>
      <c r="K364" s="137">
        <v>951.36</v>
      </c>
      <c r="N364" s="136"/>
      <c r="R364" s="138"/>
      <c r="T364" s="139"/>
      <c r="AA364" s="140"/>
      <c r="AT364" s="136" t="s">
        <v>168</v>
      </c>
      <c r="AU364" s="136" t="s">
        <v>102</v>
      </c>
      <c r="AV364" s="136" t="s">
        <v>166</v>
      </c>
      <c r="AW364" s="136" t="s">
        <v>112</v>
      </c>
      <c r="AX364" s="136" t="s">
        <v>16</v>
      </c>
      <c r="AY364" s="136" t="s">
        <v>161</v>
      </c>
    </row>
    <row r="365" spans="2:63" s="6" customFormat="1" ht="27" customHeight="1">
      <c r="B365" s="20"/>
      <c r="C365" s="117" t="s">
        <v>406</v>
      </c>
      <c r="D365" s="117" t="s">
        <v>162</v>
      </c>
      <c r="E365" s="118" t="s">
        <v>407</v>
      </c>
      <c r="F365" s="204" t="s">
        <v>408</v>
      </c>
      <c r="G365" s="205"/>
      <c r="H365" s="205"/>
      <c r="I365" s="205"/>
      <c r="J365" s="119" t="s">
        <v>249</v>
      </c>
      <c r="K365" s="120">
        <v>8</v>
      </c>
      <c r="L365" s="206">
        <v>0</v>
      </c>
      <c r="M365" s="205"/>
      <c r="N365" s="207">
        <f>ROUND($L$365*$K$365,2)</f>
        <v>0</v>
      </c>
      <c r="O365" s="205"/>
      <c r="P365" s="205"/>
      <c r="Q365" s="205"/>
      <c r="R365" s="21"/>
      <c r="T365" s="121"/>
      <c r="U365" s="27" t="s">
        <v>37</v>
      </c>
      <c r="V365" s="122">
        <v>1.25</v>
      </c>
      <c r="W365" s="122">
        <f>$V$365*$K$365</f>
        <v>10</v>
      </c>
      <c r="X365" s="122">
        <v>0.00068</v>
      </c>
      <c r="Y365" s="122">
        <f>$X$365*$K$365</f>
        <v>0.00544</v>
      </c>
      <c r="Z365" s="122">
        <v>0</v>
      </c>
      <c r="AA365" s="123">
        <f>$Z$365*$K$365</f>
        <v>0</v>
      </c>
      <c r="AR365" s="6" t="s">
        <v>166</v>
      </c>
      <c r="AT365" s="6" t="s">
        <v>162</v>
      </c>
      <c r="AU365" s="6" t="s">
        <v>102</v>
      </c>
      <c r="AY365" s="6" t="s">
        <v>161</v>
      </c>
      <c r="BE365" s="76">
        <f>IF($U$365="základní",$N$365,0)</f>
        <v>0</v>
      </c>
      <c r="BF365" s="76">
        <f>IF($U$365="snížená",$N$365,0)</f>
        <v>0</v>
      </c>
      <c r="BG365" s="76">
        <f>IF($U$365="zákl. přenesená",$N$365,0)</f>
        <v>0</v>
      </c>
      <c r="BH365" s="76">
        <f>IF($U$365="sníž. přenesená",$N$365,0)</f>
        <v>0</v>
      </c>
      <c r="BI365" s="76">
        <f>IF($U$365="nulová",$N$365,0)</f>
        <v>0</v>
      </c>
      <c r="BJ365" s="6" t="s">
        <v>16</v>
      </c>
      <c r="BK365" s="76">
        <f>ROUND($L$365*$K$365,2)</f>
        <v>0</v>
      </c>
    </row>
    <row r="366" spans="2:51" s="6" customFormat="1" ht="15.75" customHeight="1">
      <c r="B366" s="124"/>
      <c r="E366" s="125"/>
      <c r="F366" s="211" t="s">
        <v>409</v>
      </c>
      <c r="G366" s="212"/>
      <c r="H366" s="212"/>
      <c r="I366" s="212"/>
      <c r="K366" s="125"/>
      <c r="N366" s="125"/>
      <c r="R366" s="126"/>
      <c r="T366" s="127"/>
      <c r="AA366" s="128"/>
      <c r="AT366" s="125" t="s">
        <v>168</v>
      </c>
      <c r="AU366" s="125" t="s">
        <v>102</v>
      </c>
      <c r="AV366" s="125" t="s">
        <v>16</v>
      </c>
      <c r="AW366" s="125" t="s">
        <v>112</v>
      </c>
      <c r="AX366" s="125" t="s">
        <v>72</v>
      </c>
      <c r="AY366" s="125" t="s">
        <v>161</v>
      </c>
    </row>
    <row r="367" spans="2:51" s="6" customFormat="1" ht="15.75" customHeight="1">
      <c r="B367" s="129"/>
      <c r="E367" s="130"/>
      <c r="F367" s="213" t="s">
        <v>190</v>
      </c>
      <c r="G367" s="214"/>
      <c r="H367" s="214"/>
      <c r="I367" s="214"/>
      <c r="K367" s="131">
        <v>8</v>
      </c>
      <c r="N367" s="130"/>
      <c r="R367" s="132"/>
      <c r="T367" s="133"/>
      <c r="AA367" s="134"/>
      <c r="AT367" s="130" t="s">
        <v>168</v>
      </c>
      <c r="AU367" s="130" t="s">
        <v>102</v>
      </c>
      <c r="AV367" s="130" t="s">
        <v>102</v>
      </c>
      <c r="AW367" s="130" t="s">
        <v>112</v>
      </c>
      <c r="AX367" s="130" t="s">
        <v>16</v>
      </c>
      <c r="AY367" s="130" t="s">
        <v>161</v>
      </c>
    </row>
    <row r="368" spans="2:63" s="6" customFormat="1" ht="39" customHeight="1">
      <c r="B368" s="20"/>
      <c r="C368" s="117" t="s">
        <v>410</v>
      </c>
      <c r="D368" s="117" t="s">
        <v>162</v>
      </c>
      <c r="E368" s="118" t="s">
        <v>411</v>
      </c>
      <c r="F368" s="204" t="s">
        <v>412</v>
      </c>
      <c r="G368" s="205"/>
      <c r="H368" s="205"/>
      <c r="I368" s="205"/>
      <c r="J368" s="119" t="s">
        <v>249</v>
      </c>
      <c r="K368" s="120">
        <v>32</v>
      </c>
      <c r="L368" s="206">
        <v>0</v>
      </c>
      <c r="M368" s="205"/>
      <c r="N368" s="207">
        <f>ROUND($L$368*$K$368,2)</f>
        <v>0</v>
      </c>
      <c r="O368" s="205"/>
      <c r="P368" s="205"/>
      <c r="Q368" s="205"/>
      <c r="R368" s="21"/>
      <c r="T368" s="121"/>
      <c r="U368" s="27" t="s">
        <v>37</v>
      </c>
      <c r="V368" s="122">
        <v>0.208</v>
      </c>
      <c r="W368" s="122">
        <f>$V$368*$K$368</f>
        <v>6.656</v>
      </c>
      <c r="X368" s="122">
        <v>0.0006</v>
      </c>
      <c r="Y368" s="122">
        <f>$X$368*$K$368</f>
        <v>0.0192</v>
      </c>
      <c r="Z368" s="122">
        <v>0</v>
      </c>
      <c r="AA368" s="123">
        <f>$Z$368*$K$368</f>
        <v>0</v>
      </c>
      <c r="AR368" s="6" t="s">
        <v>166</v>
      </c>
      <c r="AT368" s="6" t="s">
        <v>162</v>
      </c>
      <c r="AU368" s="6" t="s">
        <v>102</v>
      </c>
      <c r="AY368" s="6" t="s">
        <v>161</v>
      </c>
      <c r="BE368" s="76">
        <f>IF($U$368="základní",$N$368,0)</f>
        <v>0</v>
      </c>
      <c r="BF368" s="76">
        <f>IF($U$368="snížená",$N$368,0)</f>
        <v>0</v>
      </c>
      <c r="BG368" s="76">
        <f>IF($U$368="zákl. přenesená",$N$368,0)</f>
        <v>0</v>
      </c>
      <c r="BH368" s="76">
        <f>IF($U$368="sníž. přenesená",$N$368,0)</f>
        <v>0</v>
      </c>
      <c r="BI368" s="76">
        <f>IF($U$368="nulová",$N$368,0)</f>
        <v>0</v>
      </c>
      <c r="BJ368" s="6" t="s">
        <v>16</v>
      </c>
      <c r="BK368" s="76">
        <f>ROUND($L$368*$K$368,2)</f>
        <v>0</v>
      </c>
    </row>
    <row r="369" spans="2:63" s="6" customFormat="1" ht="27" customHeight="1">
      <c r="B369" s="20"/>
      <c r="C369" s="117" t="s">
        <v>413</v>
      </c>
      <c r="D369" s="117" t="s">
        <v>162</v>
      </c>
      <c r="E369" s="118" t="s">
        <v>414</v>
      </c>
      <c r="F369" s="204" t="s">
        <v>415</v>
      </c>
      <c r="G369" s="205"/>
      <c r="H369" s="205"/>
      <c r="I369" s="205"/>
      <c r="J369" s="119" t="s">
        <v>165</v>
      </c>
      <c r="K369" s="120">
        <v>2.029</v>
      </c>
      <c r="L369" s="206">
        <v>0</v>
      </c>
      <c r="M369" s="205"/>
      <c r="N369" s="207">
        <f>ROUND($L$369*$K$369,2)</f>
        <v>0</v>
      </c>
      <c r="O369" s="205"/>
      <c r="P369" s="205"/>
      <c r="Q369" s="205"/>
      <c r="R369" s="21"/>
      <c r="T369" s="121"/>
      <c r="U369" s="27" t="s">
        <v>37</v>
      </c>
      <c r="V369" s="122">
        <v>1.52</v>
      </c>
      <c r="W369" s="122">
        <f>$V$369*$K$369</f>
        <v>3.0840799999999997</v>
      </c>
      <c r="X369" s="122">
        <v>0</v>
      </c>
      <c r="Y369" s="122">
        <f>$X$369*$K$369</f>
        <v>0</v>
      </c>
      <c r="Z369" s="122">
        <v>1.8</v>
      </c>
      <c r="AA369" s="123">
        <f>$Z$369*$K$369</f>
        <v>3.6522</v>
      </c>
      <c r="AR369" s="6" t="s">
        <v>166</v>
      </c>
      <c r="AT369" s="6" t="s">
        <v>162</v>
      </c>
      <c r="AU369" s="6" t="s">
        <v>102</v>
      </c>
      <c r="AY369" s="6" t="s">
        <v>161</v>
      </c>
      <c r="BE369" s="76">
        <f>IF($U$369="základní",$N$369,0)</f>
        <v>0</v>
      </c>
      <c r="BF369" s="76">
        <f>IF($U$369="snížená",$N$369,0)</f>
        <v>0</v>
      </c>
      <c r="BG369" s="76">
        <f>IF($U$369="zákl. přenesená",$N$369,0)</f>
        <v>0</v>
      </c>
      <c r="BH369" s="76">
        <f>IF($U$369="sníž. přenesená",$N$369,0)</f>
        <v>0</v>
      </c>
      <c r="BI369" s="76">
        <f>IF($U$369="nulová",$N$369,0)</f>
        <v>0</v>
      </c>
      <c r="BJ369" s="6" t="s">
        <v>16</v>
      </c>
      <c r="BK369" s="76">
        <f>ROUND($L$369*$K$369,2)</f>
        <v>0</v>
      </c>
    </row>
    <row r="370" spans="2:51" s="6" customFormat="1" ht="15.75" customHeight="1">
      <c r="B370" s="124"/>
      <c r="E370" s="125"/>
      <c r="F370" s="211" t="s">
        <v>219</v>
      </c>
      <c r="G370" s="212"/>
      <c r="H370" s="212"/>
      <c r="I370" s="212"/>
      <c r="K370" s="125"/>
      <c r="N370" s="125"/>
      <c r="R370" s="126"/>
      <c r="T370" s="127"/>
      <c r="AA370" s="128"/>
      <c r="AT370" s="125" t="s">
        <v>168</v>
      </c>
      <c r="AU370" s="125" t="s">
        <v>102</v>
      </c>
      <c r="AV370" s="125" t="s">
        <v>16</v>
      </c>
      <c r="AW370" s="125" t="s">
        <v>112</v>
      </c>
      <c r="AX370" s="125" t="s">
        <v>72</v>
      </c>
      <c r="AY370" s="125" t="s">
        <v>161</v>
      </c>
    </row>
    <row r="371" spans="2:51" s="6" customFormat="1" ht="15.75" customHeight="1">
      <c r="B371" s="129"/>
      <c r="E371" s="130"/>
      <c r="F371" s="213" t="s">
        <v>416</v>
      </c>
      <c r="G371" s="214"/>
      <c r="H371" s="214"/>
      <c r="I371" s="214"/>
      <c r="K371" s="131">
        <v>2.029</v>
      </c>
      <c r="N371" s="130"/>
      <c r="R371" s="132"/>
      <c r="T371" s="133"/>
      <c r="AA371" s="134"/>
      <c r="AT371" s="130" t="s">
        <v>168</v>
      </c>
      <c r="AU371" s="130" t="s">
        <v>102</v>
      </c>
      <c r="AV371" s="130" t="s">
        <v>102</v>
      </c>
      <c r="AW371" s="130" t="s">
        <v>112</v>
      </c>
      <c r="AX371" s="130" t="s">
        <v>72</v>
      </c>
      <c r="AY371" s="130" t="s">
        <v>161</v>
      </c>
    </row>
    <row r="372" spans="2:51" s="6" customFormat="1" ht="15.75" customHeight="1">
      <c r="B372" s="135"/>
      <c r="E372" s="136"/>
      <c r="F372" s="215" t="s">
        <v>171</v>
      </c>
      <c r="G372" s="216"/>
      <c r="H372" s="216"/>
      <c r="I372" s="216"/>
      <c r="K372" s="137">
        <v>2.029</v>
      </c>
      <c r="N372" s="136"/>
      <c r="R372" s="138"/>
      <c r="T372" s="139"/>
      <c r="AA372" s="140"/>
      <c r="AT372" s="136" t="s">
        <v>168</v>
      </c>
      <c r="AU372" s="136" t="s">
        <v>102</v>
      </c>
      <c r="AV372" s="136" t="s">
        <v>166</v>
      </c>
      <c r="AW372" s="136" t="s">
        <v>112</v>
      </c>
      <c r="AX372" s="136" t="s">
        <v>16</v>
      </c>
      <c r="AY372" s="136" t="s">
        <v>161</v>
      </c>
    </row>
    <row r="373" spans="2:63" s="6" customFormat="1" ht="27" customHeight="1">
      <c r="B373" s="20"/>
      <c r="C373" s="117" t="s">
        <v>417</v>
      </c>
      <c r="D373" s="117" t="s">
        <v>162</v>
      </c>
      <c r="E373" s="118" t="s">
        <v>418</v>
      </c>
      <c r="F373" s="204" t="s">
        <v>419</v>
      </c>
      <c r="G373" s="205"/>
      <c r="H373" s="205"/>
      <c r="I373" s="205"/>
      <c r="J373" s="119" t="s">
        <v>224</v>
      </c>
      <c r="K373" s="120">
        <v>6.07</v>
      </c>
      <c r="L373" s="206">
        <v>0</v>
      </c>
      <c r="M373" s="205"/>
      <c r="N373" s="207">
        <f>ROUND($L$373*$K$373,2)</f>
        <v>0</v>
      </c>
      <c r="O373" s="205"/>
      <c r="P373" s="205"/>
      <c r="Q373" s="205"/>
      <c r="R373" s="21"/>
      <c r="T373" s="121"/>
      <c r="U373" s="27" t="s">
        <v>37</v>
      </c>
      <c r="V373" s="122">
        <v>15.895</v>
      </c>
      <c r="W373" s="122">
        <f>$V$373*$K$373</f>
        <v>96.48265</v>
      </c>
      <c r="X373" s="122">
        <v>0</v>
      </c>
      <c r="Y373" s="122">
        <f>$X$373*$K$373</f>
        <v>0</v>
      </c>
      <c r="Z373" s="122">
        <v>1.261</v>
      </c>
      <c r="AA373" s="123">
        <f>$Z$373*$K$373</f>
        <v>7.6542699999999995</v>
      </c>
      <c r="AR373" s="6" t="s">
        <v>166</v>
      </c>
      <c r="AT373" s="6" t="s">
        <v>162</v>
      </c>
      <c r="AU373" s="6" t="s">
        <v>102</v>
      </c>
      <c r="AY373" s="6" t="s">
        <v>161</v>
      </c>
      <c r="BE373" s="76">
        <f>IF($U$373="základní",$N$373,0)</f>
        <v>0</v>
      </c>
      <c r="BF373" s="76">
        <f>IF($U$373="snížená",$N$373,0)</f>
        <v>0</v>
      </c>
      <c r="BG373" s="76">
        <f>IF($U$373="zákl. přenesená",$N$373,0)</f>
        <v>0</v>
      </c>
      <c r="BH373" s="76">
        <f>IF($U$373="sníž. přenesená",$N$373,0)</f>
        <v>0</v>
      </c>
      <c r="BI373" s="76">
        <f>IF($U$373="nulová",$N$373,0)</f>
        <v>0</v>
      </c>
      <c r="BJ373" s="6" t="s">
        <v>16</v>
      </c>
      <c r="BK373" s="76">
        <f>ROUND($L$373*$K$373,2)</f>
        <v>0</v>
      </c>
    </row>
    <row r="374" spans="2:51" s="6" customFormat="1" ht="15.75" customHeight="1">
      <c r="B374" s="124"/>
      <c r="E374" s="125"/>
      <c r="F374" s="211" t="s">
        <v>167</v>
      </c>
      <c r="G374" s="212"/>
      <c r="H374" s="212"/>
      <c r="I374" s="212"/>
      <c r="K374" s="125"/>
      <c r="N374" s="125"/>
      <c r="R374" s="126"/>
      <c r="T374" s="127"/>
      <c r="AA374" s="128"/>
      <c r="AT374" s="125" t="s">
        <v>168</v>
      </c>
      <c r="AU374" s="125" t="s">
        <v>102</v>
      </c>
      <c r="AV374" s="125" t="s">
        <v>16</v>
      </c>
      <c r="AW374" s="125" t="s">
        <v>112</v>
      </c>
      <c r="AX374" s="125" t="s">
        <v>72</v>
      </c>
      <c r="AY374" s="125" t="s">
        <v>161</v>
      </c>
    </row>
    <row r="375" spans="2:51" s="6" customFormat="1" ht="15.75" customHeight="1">
      <c r="B375" s="129"/>
      <c r="E375" s="130"/>
      <c r="F375" s="213" t="s">
        <v>420</v>
      </c>
      <c r="G375" s="214"/>
      <c r="H375" s="214"/>
      <c r="I375" s="214"/>
      <c r="K375" s="131">
        <v>6.07</v>
      </c>
      <c r="N375" s="130"/>
      <c r="R375" s="132"/>
      <c r="T375" s="133"/>
      <c r="AA375" s="134"/>
      <c r="AT375" s="130" t="s">
        <v>168</v>
      </c>
      <c r="AU375" s="130" t="s">
        <v>102</v>
      </c>
      <c r="AV375" s="130" t="s">
        <v>102</v>
      </c>
      <c r="AW375" s="130" t="s">
        <v>112</v>
      </c>
      <c r="AX375" s="130" t="s">
        <v>16</v>
      </c>
      <c r="AY375" s="130" t="s">
        <v>161</v>
      </c>
    </row>
    <row r="376" spans="2:63" s="6" customFormat="1" ht="39" customHeight="1">
      <c r="B376" s="20"/>
      <c r="C376" s="117" t="s">
        <v>421</v>
      </c>
      <c r="D376" s="117" t="s">
        <v>162</v>
      </c>
      <c r="E376" s="118" t="s">
        <v>422</v>
      </c>
      <c r="F376" s="204" t="s">
        <v>423</v>
      </c>
      <c r="G376" s="205"/>
      <c r="H376" s="205"/>
      <c r="I376" s="205"/>
      <c r="J376" s="119" t="s">
        <v>165</v>
      </c>
      <c r="K376" s="120">
        <v>0.624</v>
      </c>
      <c r="L376" s="206">
        <v>0</v>
      </c>
      <c r="M376" s="205"/>
      <c r="N376" s="207">
        <f>ROUND($L$376*$K$376,2)</f>
        <v>0</v>
      </c>
      <c r="O376" s="205"/>
      <c r="P376" s="205"/>
      <c r="Q376" s="205"/>
      <c r="R376" s="21"/>
      <c r="T376" s="121"/>
      <c r="U376" s="27" t="s">
        <v>37</v>
      </c>
      <c r="V376" s="122">
        <v>12.56</v>
      </c>
      <c r="W376" s="122">
        <f>$V$376*$K$376</f>
        <v>7.83744</v>
      </c>
      <c r="X376" s="122">
        <v>0</v>
      </c>
      <c r="Y376" s="122">
        <f>$X$376*$K$376</f>
        <v>0</v>
      </c>
      <c r="Z376" s="122">
        <v>2.2</v>
      </c>
      <c r="AA376" s="123">
        <f>$Z$376*$K$376</f>
        <v>1.3728</v>
      </c>
      <c r="AR376" s="6" t="s">
        <v>166</v>
      </c>
      <c r="AT376" s="6" t="s">
        <v>162</v>
      </c>
      <c r="AU376" s="6" t="s">
        <v>102</v>
      </c>
      <c r="AY376" s="6" t="s">
        <v>161</v>
      </c>
      <c r="BE376" s="76">
        <f>IF($U$376="základní",$N$376,0)</f>
        <v>0</v>
      </c>
      <c r="BF376" s="76">
        <f>IF($U$376="snížená",$N$376,0)</f>
        <v>0</v>
      </c>
      <c r="BG376" s="76">
        <f>IF($U$376="zákl. přenesená",$N$376,0)</f>
        <v>0</v>
      </c>
      <c r="BH376" s="76">
        <f>IF($U$376="sníž. přenesená",$N$376,0)</f>
        <v>0</v>
      </c>
      <c r="BI376" s="76">
        <f>IF($U$376="nulová",$N$376,0)</f>
        <v>0</v>
      </c>
      <c r="BJ376" s="6" t="s">
        <v>16</v>
      </c>
      <c r="BK376" s="76">
        <f>ROUND($L$376*$K$376,2)</f>
        <v>0</v>
      </c>
    </row>
    <row r="377" spans="2:51" s="6" customFormat="1" ht="15.75" customHeight="1">
      <c r="B377" s="124"/>
      <c r="E377" s="125"/>
      <c r="F377" s="211" t="s">
        <v>167</v>
      </c>
      <c r="G377" s="212"/>
      <c r="H377" s="212"/>
      <c r="I377" s="212"/>
      <c r="K377" s="125"/>
      <c r="N377" s="125"/>
      <c r="R377" s="126"/>
      <c r="T377" s="127"/>
      <c r="AA377" s="128"/>
      <c r="AT377" s="125" t="s">
        <v>168</v>
      </c>
      <c r="AU377" s="125" t="s">
        <v>102</v>
      </c>
      <c r="AV377" s="125" t="s">
        <v>16</v>
      </c>
      <c r="AW377" s="125" t="s">
        <v>112</v>
      </c>
      <c r="AX377" s="125" t="s">
        <v>72</v>
      </c>
      <c r="AY377" s="125" t="s">
        <v>161</v>
      </c>
    </row>
    <row r="378" spans="2:51" s="6" customFormat="1" ht="15.75" customHeight="1">
      <c r="B378" s="124"/>
      <c r="E378" s="125"/>
      <c r="F378" s="211" t="s">
        <v>276</v>
      </c>
      <c r="G378" s="212"/>
      <c r="H378" s="212"/>
      <c r="I378" s="212"/>
      <c r="K378" s="125"/>
      <c r="N378" s="125"/>
      <c r="R378" s="126"/>
      <c r="T378" s="127"/>
      <c r="AA378" s="128"/>
      <c r="AT378" s="125" t="s">
        <v>168</v>
      </c>
      <c r="AU378" s="125" t="s">
        <v>102</v>
      </c>
      <c r="AV378" s="125" t="s">
        <v>16</v>
      </c>
      <c r="AW378" s="125" t="s">
        <v>112</v>
      </c>
      <c r="AX378" s="125" t="s">
        <v>72</v>
      </c>
      <c r="AY378" s="125" t="s">
        <v>161</v>
      </c>
    </row>
    <row r="379" spans="2:51" s="6" customFormat="1" ht="15.75" customHeight="1">
      <c r="B379" s="129"/>
      <c r="E379" s="130"/>
      <c r="F379" s="213" t="s">
        <v>424</v>
      </c>
      <c r="G379" s="214"/>
      <c r="H379" s="214"/>
      <c r="I379" s="214"/>
      <c r="K379" s="131">
        <v>0.144</v>
      </c>
      <c r="N379" s="130"/>
      <c r="R379" s="132"/>
      <c r="T379" s="133"/>
      <c r="AA379" s="134"/>
      <c r="AT379" s="130" t="s">
        <v>168</v>
      </c>
      <c r="AU379" s="130" t="s">
        <v>102</v>
      </c>
      <c r="AV379" s="130" t="s">
        <v>102</v>
      </c>
      <c r="AW379" s="130" t="s">
        <v>112</v>
      </c>
      <c r="AX379" s="130" t="s">
        <v>72</v>
      </c>
      <c r="AY379" s="130" t="s">
        <v>161</v>
      </c>
    </row>
    <row r="380" spans="2:51" s="6" customFormat="1" ht="15.75" customHeight="1">
      <c r="B380" s="129"/>
      <c r="E380" s="130"/>
      <c r="F380" s="213" t="s">
        <v>425</v>
      </c>
      <c r="G380" s="214"/>
      <c r="H380" s="214"/>
      <c r="I380" s="214"/>
      <c r="K380" s="131">
        <v>0.24</v>
      </c>
      <c r="N380" s="130"/>
      <c r="R380" s="132"/>
      <c r="T380" s="133"/>
      <c r="AA380" s="134"/>
      <c r="AT380" s="130" t="s">
        <v>168</v>
      </c>
      <c r="AU380" s="130" t="s">
        <v>102</v>
      </c>
      <c r="AV380" s="130" t="s">
        <v>102</v>
      </c>
      <c r="AW380" s="130" t="s">
        <v>112</v>
      </c>
      <c r="AX380" s="130" t="s">
        <v>72</v>
      </c>
      <c r="AY380" s="130" t="s">
        <v>161</v>
      </c>
    </row>
    <row r="381" spans="2:51" s="6" customFormat="1" ht="15.75" customHeight="1">
      <c r="B381" s="129"/>
      <c r="E381" s="130"/>
      <c r="F381" s="213" t="s">
        <v>426</v>
      </c>
      <c r="G381" s="214"/>
      <c r="H381" s="214"/>
      <c r="I381" s="214"/>
      <c r="K381" s="131">
        <v>0.24</v>
      </c>
      <c r="N381" s="130"/>
      <c r="R381" s="132"/>
      <c r="T381" s="133"/>
      <c r="AA381" s="134"/>
      <c r="AT381" s="130" t="s">
        <v>168</v>
      </c>
      <c r="AU381" s="130" t="s">
        <v>102</v>
      </c>
      <c r="AV381" s="130" t="s">
        <v>102</v>
      </c>
      <c r="AW381" s="130" t="s">
        <v>112</v>
      </c>
      <c r="AX381" s="130" t="s">
        <v>72</v>
      </c>
      <c r="AY381" s="130" t="s">
        <v>161</v>
      </c>
    </row>
    <row r="382" spans="2:51" s="6" customFormat="1" ht="15.75" customHeight="1">
      <c r="B382" s="135"/>
      <c r="E382" s="136"/>
      <c r="F382" s="215" t="s">
        <v>171</v>
      </c>
      <c r="G382" s="216"/>
      <c r="H382" s="216"/>
      <c r="I382" s="216"/>
      <c r="K382" s="137">
        <v>0.624</v>
      </c>
      <c r="N382" s="136"/>
      <c r="R382" s="138"/>
      <c r="T382" s="139"/>
      <c r="AA382" s="140"/>
      <c r="AT382" s="136" t="s">
        <v>168</v>
      </c>
      <c r="AU382" s="136" t="s">
        <v>102</v>
      </c>
      <c r="AV382" s="136" t="s">
        <v>166</v>
      </c>
      <c r="AW382" s="136" t="s">
        <v>112</v>
      </c>
      <c r="AX382" s="136" t="s">
        <v>16</v>
      </c>
      <c r="AY382" s="136" t="s">
        <v>161</v>
      </c>
    </row>
    <row r="383" spans="2:63" s="6" customFormat="1" ht="27" customHeight="1">
      <c r="B383" s="20"/>
      <c r="C383" s="117" t="s">
        <v>427</v>
      </c>
      <c r="D383" s="117" t="s">
        <v>162</v>
      </c>
      <c r="E383" s="118" t="s">
        <v>428</v>
      </c>
      <c r="F383" s="204" t="s">
        <v>429</v>
      </c>
      <c r="G383" s="205"/>
      <c r="H383" s="205"/>
      <c r="I383" s="205"/>
      <c r="J383" s="119" t="s">
        <v>165</v>
      </c>
      <c r="K383" s="120">
        <v>0.936</v>
      </c>
      <c r="L383" s="206">
        <v>0</v>
      </c>
      <c r="M383" s="205"/>
      <c r="N383" s="207">
        <f>ROUND($L$383*$K$383,2)</f>
        <v>0</v>
      </c>
      <c r="O383" s="205"/>
      <c r="P383" s="205"/>
      <c r="Q383" s="205"/>
      <c r="R383" s="21"/>
      <c r="T383" s="121"/>
      <c r="U383" s="27" t="s">
        <v>37</v>
      </c>
      <c r="V383" s="122">
        <v>11.731</v>
      </c>
      <c r="W383" s="122">
        <f>$V$383*$K$383</f>
        <v>10.980216</v>
      </c>
      <c r="X383" s="122">
        <v>0</v>
      </c>
      <c r="Y383" s="122">
        <f>$X$383*$K$383</f>
        <v>0</v>
      </c>
      <c r="Z383" s="122">
        <v>2.2</v>
      </c>
      <c r="AA383" s="123">
        <f>$Z$383*$K$383</f>
        <v>2.0592</v>
      </c>
      <c r="AR383" s="6" t="s">
        <v>166</v>
      </c>
      <c r="AT383" s="6" t="s">
        <v>162</v>
      </c>
      <c r="AU383" s="6" t="s">
        <v>102</v>
      </c>
      <c r="AY383" s="6" t="s">
        <v>161</v>
      </c>
      <c r="BE383" s="76">
        <f>IF($U$383="základní",$N$383,0)</f>
        <v>0</v>
      </c>
      <c r="BF383" s="76">
        <f>IF($U$383="snížená",$N$383,0)</f>
        <v>0</v>
      </c>
      <c r="BG383" s="76">
        <f>IF($U$383="zákl. přenesená",$N$383,0)</f>
        <v>0</v>
      </c>
      <c r="BH383" s="76">
        <f>IF($U$383="sníž. přenesená",$N$383,0)</f>
        <v>0</v>
      </c>
      <c r="BI383" s="76">
        <f>IF($U$383="nulová",$N$383,0)</f>
        <v>0</v>
      </c>
      <c r="BJ383" s="6" t="s">
        <v>16</v>
      </c>
      <c r="BK383" s="76">
        <f>ROUND($L$383*$K$383,2)</f>
        <v>0</v>
      </c>
    </row>
    <row r="384" spans="2:51" s="6" customFormat="1" ht="15.75" customHeight="1">
      <c r="B384" s="124"/>
      <c r="E384" s="125"/>
      <c r="F384" s="211" t="s">
        <v>167</v>
      </c>
      <c r="G384" s="212"/>
      <c r="H384" s="212"/>
      <c r="I384" s="212"/>
      <c r="K384" s="125"/>
      <c r="N384" s="125"/>
      <c r="R384" s="126"/>
      <c r="T384" s="127"/>
      <c r="AA384" s="128"/>
      <c r="AT384" s="125" t="s">
        <v>168</v>
      </c>
      <c r="AU384" s="125" t="s">
        <v>102</v>
      </c>
      <c r="AV384" s="125" t="s">
        <v>16</v>
      </c>
      <c r="AW384" s="125" t="s">
        <v>112</v>
      </c>
      <c r="AX384" s="125" t="s">
        <v>72</v>
      </c>
      <c r="AY384" s="125" t="s">
        <v>161</v>
      </c>
    </row>
    <row r="385" spans="2:51" s="6" customFormat="1" ht="15.75" customHeight="1">
      <c r="B385" s="124"/>
      <c r="E385" s="125"/>
      <c r="F385" s="211" t="s">
        <v>276</v>
      </c>
      <c r="G385" s="212"/>
      <c r="H385" s="212"/>
      <c r="I385" s="212"/>
      <c r="K385" s="125"/>
      <c r="N385" s="125"/>
      <c r="R385" s="126"/>
      <c r="T385" s="127"/>
      <c r="AA385" s="128"/>
      <c r="AT385" s="125" t="s">
        <v>168</v>
      </c>
      <c r="AU385" s="125" t="s">
        <v>102</v>
      </c>
      <c r="AV385" s="125" t="s">
        <v>16</v>
      </c>
      <c r="AW385" s="125" t="s">
        <v>112</v>
      </c>
      <c r="AX385" s="125" t="s">
        <v>72</v>
      </c>
      <c r="AY385" s="125" t="s">
        <v>161</v>
      </c>
    </row>
    <row r="386" spans="2:51" s="6" customFormat="1" ht="15.75" customHeight="1">
      <c r="B386" s="129"/>
      <c r="E386" s="130"/>
      <c r="F386" s="213" t="s">
        <v>430</v>
      </c>
      <c r="G386" s="214"/>
      <c r="H386" s="214"/>
      <c r="I386" s="214"/>
      <c r="K386" s="131">
        <v>0.216</v>
      </c>
      <c r="N386" s="130"/>
      <c r="R386" s="132"/>
      <c r="T386" s="133"/>
      <c r="AA386" s="134"/>
      <c r="AT386" s="130" t="s">
        <v>168</v>
      </c>
      <c r="AU386" s="130" t="s">
        <v>102</v>
      </c>
      <c r="AV386" s="130" t="s">
        <v>102</v>
      </c>
      <c r="AW386" s="130" t="s">
        <v>112</v>
      </c>
      <c r="AX386" s="130" t="s">
        <v>72</v>
      </c>
      <c r="AY386" s="130" t="s">
        <v>161</v>
      </c>
    </row>
    <row r="387" spans="2:51" s="6" customFormat="1" ht="15.75" customHeight="1">
      <c r="B387" s="129"/>
      <c r="E387" s="130"/>
      <c r="F387" s="213" t="s">
        <v>431</v>
      </c>
      <c r="G387" s="214"/>
      <c r="H387" s="214"/>
      <c r="I387" s="214"/>
      <c r="K387" s="131">
        <v>0.36</v>
      </c>
      <c r="N387" s="130"/>
      <c r="R387" s="132"/>
      <c r="T387" s="133"/>
      <c r="AA387" s="134"/>
      <c r="AT387" s="130" t="s">
        <v>168</v>
      </c>
      <c r="AU387" s="130" t="s">
        <v>102</v>
      </c>
      <c r="AV387" s="130" t="s">
        <v>102</v>
      </c>
      <c r="AW387" s="130" t="s">
        <v>112</v>
      </c>
      <c r="AX387" s="130" t="s">
        <v>72</v>
      </c>
      <c r="AY387" s="130" t="s">
        <v>161</v>
      </c>
    </row>
    <row r="388" spans="2:51" s="6" customFormat="1" ht="15.75" customHeight="1">
      <c r="B388" s="129"/>
      <c r="E388" s="130"/>
      <c r="F388" s="213" t="s">
        <v>432</v>
      </c>
      <c r="G388" s="214"/>
      <c r="H388" s="214"/>
      <c r="I388" s="214"/>
      <c r="K388" s="131">
        <v>0.36</v>
      </c>
      <c r="N388" s="130"/>
      <c r="R388" s="132"/>
      <c r="T388" s="133"/>
      <c r="AA388" s="134"/>
      <c r="AT388" s="130" t="s">
        <v>168</v>
      </c>
      <c r="AU388" s="130" t="s">
        <v>102</v>
      </c>
      <c r="AV388" s="130" t="s">
        <v>102</v>
      </c>
      <c r="AW388" s="130" t="s">
        <v>112</v>
      </c>
      <c r="AX388" s="130" t="s">
        <v>72</v>
      </c>
      <c r="AY388" s="130" t="s">
        <v>161</v>
      </c>
    </row>
    <row r="389" spans="2:51" s="6" customFormat="1" ht="15.75" customHeight="1">
      <c r="B389" s="135"/>
      <c r="E389" s="136"/>
      <c r="F389" s="215" t="s">
        <v>171</v>
      </c>
      <c r="G389" s="216"/>
      <c r="H389" s="216"/>
      <c r="I389" s="216"/>
      <c r="K389" s="137">
        <v>0.936</v>
      </c>
      <c r="N389" s="136"/>
      <c r="R389" s="138"/>
      <c r="T389" s="139"/>
      <c r="AA389" s="140"/>
      <c r="AT389" s="136" t="s">
        <v>168</v>
      </c>
      <c r="AU389" s="136" t="s">
        <v>102</v>
      </c>
      <c r="AV389" s="136" t="s">
        <v>166</v>
      </c>
      <c r="AW389" s="136" t="s">
        <v>112</v>
      </c>
      <c r="AX389" s="136" t="s">
        <v>16</v>
      </c>
      <c r="AY389" s="136" t="s">
        <v>161</v>
      </c>
    </row>
    <row r="390" spans="2:63" s="6" customFormat="1" ht="27" customHeight="1">
      <c r="B390" s="20"/>
      <c r="C390" s="117" t="s">
        <v>433</v>
      </c>
      <c r="D390" s="117" t="s">
        <v>162</v>
      </c>
      <c r="E390" s="118" t="s">
        <v>434</v>
      </c>
      <c r="F390" s="204" t="s">
        <v>435</v>
      </c>
      <c r="G390" s="205"/>
      <c r="H390" s="205"/>
      <c r="I390" s="205"/>
      <c r="J390" s="119" t="s">
        <v>165</v>
      </c>
      <c r="K390" s="120">
        <v>5.919</v>
      </c>
      <c r="L390" s="206">
        <v>0</v>
      </c>
      <c r="M390" s="205"/>
      <c r="N390" s="207">
        <f>ROUND($L$390*$K$390,2)</f>
        <v>0</v>
      </c>
      <c r="O390" s="205"/>
      <c r="P390" s="205"/>
      <c r="Q390" s="205"/>
      <c r="R390" s="21"/>
      <c r="T390" s="121"/>
      <c r="U390" s="27" t="s">
        <v>37</v>
      </c>
      <c r="V390" s="122">
        <v>1.051</v>
      </c>
      <c r="W390" s="122">
        <f>$V$390*$K$390</f>
        <v>6.2208689999999995</v>
      </c>
      <c r="X390" s="122">
        <v>0</v>
      </c>
      <c r="Y390" s="122">
        <f>$X$390*$K$390</f>
        <v>0</v>
      </c>
      <c r="Z390" s="122">
        <v>1.4</v>
      </c>
      <c r="AA390" s="123">
        <f>$Z$390*$K$390</f>
        <v>8.286599999999998</v>
      </c>
      <c r="AR390" s="6" t="s">
        <v>166</v>
      </c>
      <c r="AT390" s="6" t="s">
        <v>162</v>
      </c>
      <c r="AU390" s="6" t="s">
        <v>102</v>
      </c>
      <c r="AY390" s="6" t="s">
        <v>161</v>
      </c>
      <c r="BE390" s="76">
        <f>IF($U$390="základní",$N$390,0)</f>
        <v>0</v>
      </c>
      <c r="BF390" s="76">
        <f>IF($U$390="snížená",$N$390,0)</f>
        <v>0</v>
      </c>
      <c r="BG390" s="76">
        <f>IF($U$390="zákl. přenesená",$N$390,0)</f>
        <v>0</v>
      </c>
      <c r="BH390" s="76">
        <f>IF($U$390="sníž. přenesená",$N$390,0)</f>
        <v>0</v>
      </c>
      <c r="BI390" s="76">
        <f>IF($U$390="nulová",$N$390,0)</f>
        <v>0</v>
      </c>
      <c r="BJ390" s="6" t="s">
        <v>16</v>
      </c>
      <c r="BK390" s="76">
        <f>ROUND($L$390*$K$390,2)</f>
        <v>0</v>
      </c>
    </row>
    <row r="391" spans="2:51" s="6" customFormat="1" ht="15.75" customHeight="1">
      <c r="B391" s="124"/>
      <c r="E391" s="125"/>
      <c r="F391" s="211" t="s">
        <v>436</v>
      </c>
      <c r="G391" s="212"/>
      <c r="H391" s="212"/>
      <c r="I391" s="212"/>
      <c r="K391" s="125"/>
      <c r="N391" s="125"/>
      <c r="R391" s="126"/>
      <c r="T391" s="127"/>
      <c r="AA391" s="128"/>
      <c r="AT391" s="125" t="s">
        <v>168</v>
      </c>
      <c r="AU391" s="125" t="s">
        <v>102</v>
      </c>
      <c r="AV391" s="125" t="s">
        <v>16</v>
      </c>
      <c r="AW391" s="125" t="s">
        <v>112</v>
      </c>
      <c r="AX391" s="125" t="s">
        <v>72</v>
      </c>
      <c r="AY391" s="125" t="s">
        <v>161</v>
      </c>
    </row>
    <row r="392" spans="2:51" s="6" customFormat="1" ht="15.75" customHeight="1">
      <c r="B392" s="124"/>
      <c r="E392" s="125"/>
      <c r="F392" s="211" t="s">
        <v>437</v>
      </c>
      <c r="G392" s="212"/>
      <c r="H392" s="212"/>
      <c r="I392" s="212"/>
      <c r="K392" s="125"/>
      <c r="N392" s="125"/>
      <c r="R392" s="126"/>
      <c r="T392" s="127"/>
      <c r="AA392" s="128"/>
      <c r="AT392" s="125" t="s">
        <v>168</v>
      </c>
      <c r="AU392" s="125" t="s">
        <v>102</v>
      </c>
      <c r="AV392" s="125" t="s">
        <v>16</v>
      </c>
      <c r="AW392" s="125" t="s">
        <v>112</v>
      </c>
      <c r="AX392" s="125" t="s">
        <v>72</v>
      </c>
      <c r="AY392" s="125" t="s">
        <v>161</v>
      </c>
    </row>
    <row r="393" spans="2:51" s="6" customFormat="1" ht="15.75" customHeight="1">
      <c r="B393" s="129"/>
      <c r="E393" s="130"/>
      <c r="F393" s="213" t="s">
        <v>438</v>
      </c>
      <c r="G393" s="214"/>
      <c r="H393" s="214"/>
      <c r="I393" s="214"/>
      <c r="K393" s="131">
        <v>2.817</v>
      </c>
      <c r="N393" s="130"/>
      <c r="R393" s="132"/>
      <c r="T393" s="133"/>
      <c r="AA393" s="134"/>
      <c r="AT393" s="130" t="s">
        <v>168</v>
      </c>
      <c r="AU393" s="130" t="s">
        <v>102</v>
      </c>
      <c r="AV393" s="130" t="s">
        <v>102</v>
      </c>
      <c r="AW393" s="130" t="s">
        <v>112</v>
      </c>
      <c r="AX393" s="130" t="s">
        <v>72</v>
      </c>
      <c r="AY393" s="130" t="s">
        <v>161</v>
      </c>
    </row>
    <row r="394" spans="2:51" s="6" customFormat="1" ht="15.75" customHeight="1">
      <c r="B394" s="129"/>
      <c r="E394" s="130"/>
      <c r="F394" s="213" t="s">
        <v>439</v>
      </c>
      <c r="G394" s="214"/>
      <c r="H394" s="214"/>
      <c r="I394" s="214"/>
      <c r="K394" s="131">
        <v>0.324</v>
      </c>
      <c r="N394" s="130"/>
      <c r="R394" s="132"/>
      <c r="T394" s="133"/>
      <c r="AA394" s="134"/>
      <c r="AT394" s="130" t="s">
        <v>168</v>
      </c>
      <c r="AU394" s="130" t="s">
        <v>102</v>
      </c>
      <c r="AV394" s="130" t="s">
        <v>102</v>
      </c>
      <c r="AW394" s="130" t="s">
        <v>112</v>
      </c>
      <c r="AX394" s="130" t="s">
        <v>72</v>
      </c>
      <c r="AY394" s="130" t="s">
        <v>161</v>
      </c>
    </row>
    <row r="395" spans="2:51" s="6" customFormat="1" ht="15.75" customHeight="1">
      <c r="B395" s="129"/>
      <c r="E395" s="130"/>
      <c r="F395" s="213" t="s">
        <v>440</v>
      </c>
      <c r="G395" s="214"/>
      <c r="H395" s="214"/>
      <c r="I395" s="214"/>
      <c r="K395" s="131">
        <v>0.72</v>
      </c>
      <c r="N395" s="130"/>
      <c r="R395" s="132"/>
      <c r="T395" s="133"/>
      <c r="AA395" s="134"/>
      <c r="AT395" s="130" t="s">
        <v>168</v>
      </c>
      <c r="AU395" s="130" t="s">
        <v>102</v>
      </c>
      <c r="AV395" s="130" t="s">
        <v>102</v>
      </c>
      <c r="AW395" s="130" t="s">
        <v>112</v>
      </c>
      <c r="AX395" s="130" t="s">
        <v>72</v>
      </c>
      <c r="AY395" s="130" t="s">
        <v>161</v>
      </c>
    </row>
    <row r="396" spans="2:51" s="6" customFormat="1" ht="15.75" customHeight="1">
      <c r="B396" s="129"/>
      <c r="E396" s="130"/>
      <c r="F396" s="213" t="s">
        <v>441</v>
      </c>
      <c r="G396" s="214"/>
      <c r="H396" s="214"/>
      <c r="I396" s="214"/>
      <c r="K396" s="131">
        <v>0.69</v>
      </c>
      <c r="N396" s="130"/>
      <c r="R396" s="132"/>
      <c r="T396" s="133"/>
      <c r="AA396" s="134"/>
      <c r="AT396" s="130" t="s">
        <v>168</v>
      </c>
      <c r="AU396" s="130" t="s">
        <v>102</v>
      </c>
      <c r="AV396" s="130" t="s">
        <v>102</v>
      </c>
      <c r="AW396" s="130" t="s">
        <v>112</v>
      </c>
      <c r="AX396" s="130" t="s">
        <v>72</v>
      </c>
      <c r="AY396" s="130" t="s">
        <v>161</v>
      </c>
    </row>
    <row r="397" spans="2:51" s="6" customFormat="1" ht="15.75" customHeight="1">
      <c r="B397" s="129"/>
      <c r="E397" s="130"/>
      <c r="F397" s="213" t="s">
        <v>442</v>
      </c>
      <c r="G397" s="214"/>
      <c r="H397" s="214"/>
      <c r="I397" s="214"/>
      <c r="K397" s="131">
        <v>0.928</v>
      </c>
      <c r="N397" s="130"/>
      <c r="R397" s="132"/>
      <c r="T397" s="133"/>
      <c r="AA397" s="134"/>
      <c r="AT397" s="130" t="s">
        <v>168</v>
      </c>
      <c r="AU397" s="130" t="s">
        <v>102</v>
      </c>
      <c r="AV397" s="130" t="s">
        <v>102</v>
      </c>
      <c r="AW397" s="130" t="s">
        <v>112</v>
      </c>
      <c r="AX397" s="130" t="s">
        <v>72</v>
      </c>
      <c r="AY397" s="130" t="s">
        <v>161</v>
      </c>
    </row>
    <row r="398" spans="2:51" s="6" customFormat="1" ht="15.75" customHeight="1">
      <c r="B398" s="129"/>
      <c r="E398" s="130"/>
      <c r="F398" s="213" t="s">
        <v>443</v>
      </c>
      <c r="G398" s="214"/>
      <c r="H398" s="214"/>
      <c r="I398" s="214"/>
      <c r="K398" s="131">
        <v>0.44</v>
      </c>
      <c r="N398" s="130"/>
      <c r="R398" s="132"/>
      <c r="T398" s="133"/>
      <c r="AA398" s="134"/>
      <c r="AT398" s="130" t="s">
        <v>168</v>
      </c>
      <c r="AU398" s="130" t="s">
        <v>102</v>
      </c>
      <c r="AV398" s="130" t="s">
        <v>102</v>
      </c>
      <c r="AW398" s="130" t="s">
        <v>112</v>
      </c>
      <c r="AX398" s="130" t="s">
        <v>72</v>
      </c>
      <c r="AY398" s="130" t="s">
        <v>161</v>
      </c>
    </row>
    <row r="399" spans="2:51" s="6" customFormat="1" ht="15.75" customHeight="1">
      <c r="B399" s="135"/>
      <c r="E399" s="136"/>
      <c r="F399" s="215" t="s">
        <v>171</v>
      </c>
      <c r="G399" s="216"/>
      <c r="H399" s="216"/>
      <c r="I399" s="216"/>
      <c r="K399" s="137">
        <v>5.919</v>
      </c>
      <c r="N399" s="136"/>
      <c r="R399" s="138"/>
      <c r="T399" s="139"/>
      <c r="AA399" s="140"/>
      <c r="AT399" s="136" t="s">
        <v>168</v>
      </c>
      <c r="AU399" s="136" t="s">
        <v>102</v>
      </c>
      <c r="AV399" s="136" t="s">
        <v>166</v>
      </c>
      <c r="AW399" s="136" t="s">
        <v>112</v>
      </c>
      <c r="AX399" s="136" t="s">
        <v>16</v>
      </c>
      <c r="AY399" s="136" t="s">
        <v>161</v>
      </c>
    </row>
    <row r="400" spans="2:63" s="6" customFormat="1" ht="27" customHeight="1">
      <c r="B400" s="20"/>
      <c r="C400" s="117" t="s">
        <v>444</v>
      </c>
      <c r="D400" s="117" t="s">
        <v>162</v>
      </c>
      <c r="E400" s="118" t="s">
        <v>445</v>
      </c>
      <c r="F400" s="204" t="s">
        <v>446</v>
      </c>
      <c r="G400" s="205"/>
      <c r="H400" s="205"/>
      <c r="I400" s="205"/>
      <c r="J400" s="119" t="s">
        <v>245</v>
      </c>
      <c r="K400" s="120">
        <v>15.03</v>
      </c>
      <c r="L400" s="206">
        <v>0</v>
      </c>
      <c r="M400" s="205"/>
      <c r="N400" s="207">
        <f>ROUND($L$400*$K$400,2)</f>
        <v>0</v>
      </c>
      <c r="O400" s="205"/>
      <c r="P400" s="205"/>
      <c r="Q400" s="205"/>
      <c r="R400" s="21"/>
      <c r="T400" s="121"/>
      <c r="U400" s="27" t="s">
        <v>37</v>
      </c>
      <c r="V400" s="122">
        <v>0.804</v>
      </c>
      <c r="W400" s="122">
        <f>$V$400*$K$400</f>
        <v>12.08412</v>
      </c>
      <c r="X400" s="122">
        <v>0</v>
      </c>
      <c r="Y400" s="122">
        <f>$X$400*$K$400</f>
        <v>0</v>
      </c>
      <c r="Z400" s="122">
        <v>0.11</v>
      </c>
      <c r="AA400" s="123">
        <f>$Z$400*$K$400</f>
        <v>1.6533</v>
      </c>
      <c r="AR400" s="6" t="s">
        <v>166</v>
      </c>
      <c r="AT400" s="6" t="s">
        <v>162</v>
      </c>
      <c r="AU400" s="6" t="s">
        <v>102</v>
      </c>
      <c r="AY400" s="6" t="s">
        <v>161</v>
      </c>
      <c r="BE400" s="76">
        <f>IF($U$400="základní",$N$400,0)</f>
        <v>0</v>
      </c>
      <c r="BF400" s="76">
        <f>IF($U$400="snížená",$N$400,0)</f>
        <v>0</v>
      </c>
      <c r="BG400" s="76">
        <f>IF($U$400="zákl. přenesená",$N$400,0)</f>
        <v>0</v>
      </c>
      <c r="BH400" s="76">
        <f>IF($U$400="sníž. přenesená",$N$400,0)</f>
        <v>0</v>
      </c>
      <c r="BI400" s="76">
        <f>IF($U$400="nulová",$N$400,0)</f>
        <v>0</v>
      </c>
      <c r="BJ400" s="6" t="s">
        <v>16</v>
      </c>
      <c r="BK400" s="76">
        <f>ROUND($L$400*$K$400,2)</f>
        <v>0</v>
      </c>
    </row>
    <row r="401" spans="2:51" s="6" customFormat="1" ht="15.75" customHeight="1">
      <c r="B401" s="124"/>
      <c r="E401" s="125"/>
      <c r="F401" s="211" t="s">
        <v>219</v>
      </c>
      <c r="G401" s="212"/>
      <c r="H401" s="212"/>
      <c r="I401" s="212"/>
      <c r="K401" s="125"/>
      <c r="N401" s="125"/>
      <c r="R401" s="126"/>
      <c r="T401" s="127"/>
      <c r="AA401" s="128"/>
      <c r="AT401" s="125" t="s">
        <v>168</v>
      </c>
      <c r="AU401" s="125" t="s">
        <v>102</v>
      </c>
      <c r="AV401" s="125" t="s">
        <v>16</v>
      </c>
      <c r="AW401" s="125" t="s">
        <v>112</v>
      </c>
      <c r="AX401" s="125" t="s">
        <v>72</v>
      </c>
      <c r="AY401" s="125" t="s">
        <v>161</v>
      </c>
    </row>
    <row r="402" spans="2:51" s="6" customFormat="1" ht="15.75" customHeight="1">
      <c r="B402" s="129"/>
      <c r="E402" s="130"/>
      <c r="F402" s="213" t="s">
        <v>447</v>
      </c>
      <c r="G402" s="214"/>
      <c r="H402" s="214"/>
      <c r="I402" s="214"/>
      <c r="K402" s="131">
        <v>15.03</v>
      </c>
      <c r="N402" s="130"/>
      <c r="R402" s="132"/>
      <c r="T402" s="133"/>
      <c r="AA402" s="134"/>
      <c r="AT402" s="130" t="s">
        <v>168</v>
      </c>
      <c r="AU402" s="130" t="s">
        <v>102</v>
      </c>
      <c r="AV402" s="130" t="s">
        <v>102</v>
      </c>
      <c r="AW402" s="130" t="s">
        <v>112</v>
      </c>
      <c r="AX402" s="130" t="s">
        <v>72</v>
      </c>
      <c r="AY402" s="130" t="s">
        <v>161</v>
      </c>
    </row>
    <row r="403" spans="2:51" s="6" customFormat="1" ht="15.75" customHeight="1">
      <c r="B403" s="135"/>
      <c r="E403" s="136"/>
      <c r="F403" s="215" t="s">
        <v>171</v>
      </c>
      <c r="G403" s="216"/>
      <c r="H403" s="216"/>
      <c r="I403" s="216"/>
      <c r="K403" s="137">
        <v>15.03</v>
      </c>
      <c r="N403" s="136"/>
      <c r="R403" s="138"/>
      <c r="T403" s="139"/>
      <c r="AA403" s="140"/>
      <c r="AT403" s="136" t="s">
        <v>168</v>
      </c>
      <c r="AU403" s="136" t="s">
        <v>102</v>
      </c>
      <c r="AV403" s="136" t="s">
        <v>166</v>
      </c>
      <c r="AW403" s="136" t="s">
        <v>112</v>
      </c>
      <c r="AX403" s="136" t="s">
        <v>16</v>
      </c>
      <c r="AY403" s="136" t="s">
        <v>161</v>
      </c>
    </row>
    <row r="404" spans="2:63" s="6" customFormat="1" ht="27" customHeight="1">
      <c r="B404" s="20"/>
      <c r="C404" s="117" t="s">
        <v>448</v>
      </c>
      <c r="D404" s="117" t="s">
        <v>162</v>
      </c>
      <c r="E404" s="118" t="s">
        <v>449</v>
      </c>
      <c r="F404" s="204" t="s">
        <v>450</v>
      </c>
      <c r="G404" s="205"/>
      <c r="H404" s="205"/>
      <c r="I404" s="205"/>
      <c r="J404" s="119" t="s">
        <v>174</v>
      </c>
      <c r="K404" s="120">
        <v>1.08</v>
      </c>
      <c r="L404" s="206">
        <v>0</v>
      </c>
      <c r="M404" s="205"/>
      <c r="N404" s="207">
        <f>ROUND($L$404*$K$404,2)</f>
        <v>0</v>
      </c>
      <c r="O404" s="205"/>
      <c r="P404" s="205"/>
      <c r="Q404" s="205"/>
      <c r="R404" s="21"/>
      <c r="T404" s="121"/>
      <c r="U404" s="27" t="s">
        <v>37</v>
      </c>
      <c r="V404" s="122">
        <v>3.255</v>
      </c>
      <c r="W404" s="122">
        <f>$V$404*$K$404</f>
        <v>3.5154</v>
      </c>
      <c r="X404" s="122">
        <v>0</v>
      </c>
      <c r="Y404" s="122">
        <f>$X$404*$K$404</f>
        <v>0</v>
      </c>
      <c r="Z404" s="122">
        <v>0.75</v>
      </c>
      <c r="AA404" s="123">
        <f>$Z$404*$K$404</f>
        <v>0.81</v>
      </c>
      <c r="AR404" s="6" t="s">
        <v>166</v>
      </c>
      <c r="AT404" s="6" t="s">
        <v>162</v>
      </c>
      <c r="AU404" s="6" t="s">
        <v>102</v>
      </c>
      <c r="AY404" s="6" t="s">
        <v>161</v>
      </c>
      <c r="BE404" s="76">
        <f>IF($U$404="základní",$N$404,0)</f>
        <v>0</v>
      </c>
      <c r="BF404" s="76">
        <f>IF($U$404="snížená",$N$404,0)</f>
        <v>0</v>
      </c>
      <c r="BG404" s="76">
        <f>IF($U$404="zákl. přenesená",$N$404,0)</f>
        <v>0</v>
      </c>
      <c r="BH404" s="76">
        <f>IF($U$404="sníž. přenesená",$N$404,0)</f>
        <v>0</v>
      </c>
      <c r="BI404" s="76">
        <f>IF($U$404="nulová",$N$404,0)</f>
        <v>0</v>
      </c>
      <c r="BJ404" s="6" t="s">
        <v>16</v>
      </c>
      <c r="BK404" s="76">
        <f>ROUND($L$404*$K$404,2)</f>
        <v>0</v>
      </c>
    </row>
    <row r="405" spans="2:51" s="6" customFormat="1" ht="15.75" customHeight="1">
      <c r="B405" s="124"/>
      <c r="E405" s="125"/>
      <c r="F405" s="211" t="s">
        <v>276</v>
      </c>
      <c r="G405" s="212"/>
      <c r="H405" s="212"/>
      <c r="I405" s="212"/>
      <c r="K405" s="125"/>
      <c r="N405" s="125"/>
      <c r="R405" s="126"/>
      <c r="T405" s="127"/>
      <c r="AA405" s="128"/>
      <c r="AT405" s="125" t="s">
        <v>168</v>
      </c>
      <c r="AU405" s="125" t="s">
        <v>102</v>
      </c>
      <c r="AV405" s="125" t="s">
        <v>16</v>
      </c>
      <c r="AW405" s="125" t="s">
        <v>112</v>
      </c>
      <c r="AX405" s="125" t="s">
        <v>72</v>
      </c>
      <c r="AY405" s="125" t="s">
        <v>161</v>
      </c>
    </row>
    <row r="406" spans="2:51" s="6" customFormat="1" ht="15.75" customHeight="1">
      <c r="B406" s="129"/>
      <c r="E406" s="130"/>
      <c r="F406" s="213" t="s">
        <v>451</v>
      </c>
      <c r="G406" s="214"/>
      <c r="H406" s="214"/>
      <c r="I406" s="214"/>
      <c r="K406" s="131">
        <v>1.08</v>
      </c>
      <c r="N406" s="130"/>
      <c r="R406" s="132"/>
      <c r="T406" s="133"/>
      <c r="AA406" s="134"/>
      <c r="AT406" s="130" t="s">
        <v>168</v>
      </c>
      <c r="AU406" s="130" t="s">
        <v>102</v>
      </c>
      <c r="AV406" s="130" t="s">
        <v>102</v>
      </c>
      <c r="AW406" s="130" t="s">
        <v>112</v>
      </c>
      <c r="AX406" s="130" t="s">
        <v>16</v>
      </c>
      <c r="AY406" s="130" t="s">
        <v>161</v>
      </c>
    </row>
    <row r="407" spans="2:63" s="6" customFormat="1" ht="27" customHeight="1">
      <c r="B407" s="20"/>
      <c r="C407" s="117" t="s">
        <v>452</v>
      </c>
      <c r="D407" s="117" t="s">
        <v>162</v>
      </c>
      <c r="E407" s="118" t="s">
        <v>453</v>
      </c>
      <c r="F407" s="204" t="s">
        <v>454</v>
      </c>
      <c r="G407" s="205"/>
      <c r="H407" s="205"/>
      <c r="I407" s="205"/>
      <c r="J407" s="119" t="s">
        <v>245</v>
      </c>
      <c r="K407" s="120">
        <v>1.6</v>
      </c>
      <c r="L407" s="206">
        <v>0</v>
      </c>
      <c r="M407" s="205"/>
      <c r="N407" s="207">
        <f>ROUND($L$407*$K$407,2)</f>
        <v>0</v>
      </c>
      <c r="O407" s="205"/>
      <c r="P407" s="205"/>
      <c r="Q407" s="205"/>
      <c r="R407" s="21"/>
      <c r="T407" s="121"/>
      <c r="U407" s="27" t="s">
        <v>37</v>
      </c>
      <c r="V407" s="122">
        <v>1.215</v>
      </c>
      <c r="W407" s="122">
        <f>$V$407*$K$407</f>
        <v>1.9440000000000002</v>
      </c>
      <c r="X407" s="122">
        <v>0</v>
      </c>
      <c r="Y407" s="122">
        <f>$X$407*$K$407</f>
        <v>0</v>
      </c>
      <c r="Z407" s="122">
        <v>0.071</v>
      </c>
      <c r="AA407" s="123">
        <f>$Z$407*$K$407</f>
        <v>0.11359999999999999</v>
      </c>
      <c r="AR407" s="6" t="s">
        <v>166</v>
      </c>
      <c r="AT407" s="6" t="s">
        <v>162</v>
      </c>
      <c r="AU407" s="6" t="s">
        <v>102</v>
      </c>
      <c r="AY407" s="6" t="s">
        <v>161</v>
      </c>
      <c r="BE407" s="76">
        <f>IF($U$407="základní",$N$407,0)</f>
        <v>0</v>
      </c>
      <c r="BF407" s="76">
        <f>IF($U$407="snížená",$N$407,0)</f>
        <v>0</v>
      </c>
      <c r="BG407" s="76">
        <f>IF($U$407="zákl. přenesená",$N$407,0)</f>
        <v>0</v>
      </c>
      <c r="BH407" s="76">
        <f>IF($U$407="sníž. přenesená",$N$407,0)</f>
        <v>0</v>
      </c>
      <c r="BI407" s="76">
        <f>IF($U$407="nulová",$N$407,0)</f>
        <v>0</v>
      </c>
      <c r="BJ407" s="6" t="s">
        <v>16</v>
      </c>
      <c r="BK407" s="76">
        <f>ROUND($L$407*$K$407,2)</f>
        <v>0</v>
      </c>
    </row>
    <row r="408" spans="2:51" s="6" customFormat="1" ht="15.75" customHeight="1">
      <c r="B408" s="124"/>
      <c r="E408" s="125"/>
      <c r="F408" s="211" t="s">
        <v>310</v>
      </c>
      <c r="G408" s="212"/>
      <c r="H408" s="212"/>
      <c r="I408" s="212"/>
      <c r="K408" s="125"/>
      <c r="N408" s="125"/>
      <c r="R408" s="126"/>
      <c r="T408" s="127"/>
      <c r="AA408" s="128"/>
      <c r="AT408" s="125" t="s">
        <v>168</v>
      </c>
      <c r="AU408" s="125" t="s">
        <v>102</v>
      </c>
      <c r="AV408" s="125" t="s">
        <v>16</v>
      </c>
      <c r="AW408" s="125" t="s">
        <v>112</v>
      </c>
      <c r="AX408" s="125" t="s">
        <v>72</v>
      </c>
      <c r="AY408" s="125" t="s">
        <v>161</v>
      </c>
    </row>
    <row r="409" spans="2:51" s="6" customFormat="1" ht="15.75" customHeight="1">
      <c r="B409" s="129"/>
      <c r="E409" s="130"/>
      <c r="F409" s="213" t="s">
        <v>455</v>
      </c>
      <c r="G409" s="214"/>
      <c r="H409" s="214"/>
      <c r="I409" s="214"/>
      <c r="K409" s="131">
        <v>1.6</v>
      </c>
      <c r="N409" s="130"/>
      <c r="R409" s="132"/>
      <c r="T409" s="133"/>
      <c r="AA409" s="134"/>
      <c r="AT409" s="130" t="s">
        <v>168</v>
      </c>
      <c r="AU409" s="130" t="s">
        <v>102</v>
      </c>
      <c r="AV409" s="130" t="s">
        <v>102</v>
      </c>
      <c r="AW409" s="130" t="s">
        <v>112</v>
      </c>
      <c r="AX409" s="130" t="s">
        <v>16</v>
      </c>
      <c r="AY409" s="130" t="s">
        <v>161</v>
      </c>
    </row>
    <row r="410" spans="2:63" s="6" customFormat="1" ht="15.75" customHeight="1">
      <c r="B410" s="20"/>
      <c r="C410" s="117" t="s">
        <v>456</v>
      </c>
      <c r="D410" s="117" t="s">
        <v>162</v>
      </c>
      <c r="E410" s="118" t="s">
        <v>457</v>
      </c>
      <c r="F410" s="204" t="s">
        <v>458</v>
      </c>
      <c r="G410" s="205"/>
      <c r="H410" s="205"/>
      <c r="I410" s="205"/>
      <c r="J410" s="119" t="s">
        <v>245</v>
      </c>
      <c r="K410" s="120">
        <v>5.6</v>
      </c>
      <c r="L410" s="206">
        <v>0</v>
      </c>
      <c r="M410" s="205"/>
      <c r="N410" s="207">
        <f>ROUND($L$410*$K$410,2)</f>
        <v>0</v>
      </c>
      <c r="O410" s="205"/>
      <c r="P410" s="205"/>
      <c r="Q410" s="205"/>
      <c r="R410" s="21"/>
      <c r="T410" s="121"/>
      <c r="U410" s="27" t="s">
        <v>37</v>
      </c>
      <c r="V410" s="122">
        <v>0.55</v>
      </c>
      <c r="W410" s="122">
        <f>$V$410*$K$410</f>
        <v>3.08</v>
      </c>
      <c r="X410" s="122">
        <v>0</v>
      </c>
      <c r="Y410" s="122">
        <f>$X$410*$K$410</f>
        <v>0</v>
      </c>
      <c r="Z410" s="122">
        <v>0.037</v>
      </c>
      <c r="AA410" s="123">
        <f>$Z$410*$K$410</f>
        <v>0.20719999999999997</v>
      </c>
      <c r="AR410" s="6" t="s">
        <v>166</v>
      </c>
      <c r="AT410" s="6" t="s">
        <v>162</v>
      </c>
      <c r="AU410" s="6" t="s">
        <v>102</v>
      </c>
      <c r="AY410" s="6" t="s">
        <v>161</v>
      </c>
      <c r="BE410" s="76">
        <f>IF($U$410="základní",$N$410,0)</f>
        <v>0</v>
      </c>
      <c r="BF410" s="76">
        <f>IF($U$410="snížená",$N$410,0)</f>
        <v>0</v>
      </c>
      <c r="BG410" s="76">
        <f>IF($U$410="zákl. přenesená",$N$410,0)</f>
        <v>0</v>
      </c>
      <c r="BH410" s="76">
        <f>IF($U$410="sníž. přenesená",$N$410,0)</f>
        <v>0</v>
      </c>
      <c r="BI410" s="76">
        <f>IF($U$410="nulová",$N$410,0)</f>
        <v>0</v>
      </c>
      <c r="BJ410" s="6" t="s">
        <v>16</v>
      </c>
      <c r="BK410" s="76">
        <f>ROUND($L$410*$K$410,2)</f>
        <v>0</v>
      </c>
    </row>
    <row r="411" spans="2:51" s="6" customFormat="1" ht="15.75" customHeight="1">
      <c r="B411" s="124"/>
      <c r="E411" s="125"/>
      <c r="F411" s="211" t="s">
        <v>167</v>
      </c>
      <c r="G411" s="212"/>
      <c r="H411" s="212"/>
      <c r="I411" s="212"/>
      <c r="K411" s="125"/>
      <c r="N411" s="125"/>
      <c r="R411" s="126"/>
      <c r="T411" s="127"/>
      <c r="AA411" s="128"/>
      <c r="AT411" s="125" t="s">
        <v>168</v>
      </c>
      <c r="AU411" s="125" t="s">
        <v>102</v>
      </c>
      <c r="AV411" s="125" t="s">
        <v>16</v>
      </c>
      <c r="AW411" s="125" t="s">
        <v>112</v>
      </c>
      <c r="AX411" s="125" t="s">
        <v>72</v>
      </c>
      <c r="AY411" s="125" t="s">
        <v>161</v>
      </c>
    </row>
    <row r="412" spans="2:51" s="6" customFormat="1" ht="15.75" customHeight="1">
      <c r="B412" s="124"/>
      <c r="E412" s="125"/>
      <c r="F412" s="211" t="s">
        <v>459</v>
      </c>
      <c r="G412" s="212"/>
      <c r="H412" s="212"/>
      <c r="I412" s="212"/>
      <c r="K412" s="125"/>
      <c r="N412" s="125"/>
      <c r="R412" s="126"/>
      <c r="T412" s="127"/>
      <c r="AA412" s="128"/>
      <c r="AT412" s="125" t="s">
        <v>168</v>
      </c>
      <c r="AU412" s="125" t="s">
        <v>102</v>
      </c>
      <c r="AV412" s="125" t="s">
        <v>16</v>
      </c>
      <c r="AW412" s="125" t="s">
        <v>112</v>
      </c>
      <c r="AX412" s="125" t="s">
        <v>72</v>
      </c>
      <c r="AY412" s="125" t="s">
        <v>161</v>
      </c>
    </row>
    <row r="413" spans="2:51" s="6" customFormat="1" ht="15.75" customHeight="1">
      <c r="B413" s="124"/>
      <c r="E413" s="125"/>
      <c r="F413" s="211" t="s">
        <v>460</v>
      </c>
      <c r="G413" s="212"/>
      <c r="H413" s="212"/>
      <c r="I413" s="212"/>
      <c r="K413" s="125"/>
      <c r="N413" s="125"/>
      <c r="R413" s="126"/>
      <c r="T413" s="127"/>
      <c r="AA413" s="128"/>
      <c r="AT413" s="125" t="s">
        <v>168</v>
      </c>
      <c r="AU413" s="125" t="s">
        <v>102</v>
      </c>
      <c r="AV413" s="125" t="s">
        <v>16</v>
      </c>
      <c r="AW413" s="125" t="s">
        <v>112</v>
      </c>
      <c r="AX413" s="125" t="s">
        <v>72</v>
      </c>
      <c r="AY413" s="125" t="s">
        <v>161</v>
      </c>
    </row>
    <row r="414" spans="2:51" s="6" customFormat="1" ht="15.75" customHeight="1">
      <c r="B414" s="129"/>
      <c r="E414" s="130"/>
      <c r="F414" s="213" t="s">
        <v>461</v>
      </c>
      <c r="G414" s="214"/>
      <c r="H414" s="214"/>
      <c r="I414" s="214"/>
      <c r="K414" s="131">
        <v>1.4</v>
      </c>
      <c r="N414" s="130"/>
      <c r="R414" s="132"/>
      <c r="T414" s="133"/>
      <c r="AA414" s="134"/>
      <c r="AT414" s="130" t="s">
        <v>168</v>
      </c>
      <c r="AU414" s="130" t="s">
        <v>102</v>
      </c>
      <c r="AV414" s="130" t="s">
        <v>102</v>
      </c>
      <c r="AW414" s="130" t="s">
        <v>112</v>
      </c>
      <c r="AX414" s="130" t="s">
        <v>72</v>
      </c>
      <c r="AY414" s="130" t="s">
        <v>161</v>
      </c>
    </row>
    <row r="415" spans="2:51" s="6" customFormat="1" ht="15.75" customHeight="1">
      <c r="B415" s="124"/>
      <c r="E415" s="125"/>
      <c r="F415" s="211" t="s">
        <v>462</v>
      </c>
      <c r="G415" s="212"/>
      <c r="H415" s="212"/>
      <c r="I415" s="212"/>
      <c r="K415" s="125"/>
      <c r="N415" s="125"/>
      <c r="R415" s="126"/>
      <c r="T415" s="127"/>
      <c r="AA415" s="128"/>
      <c r="AT415" s="125" t="s">
        <v>168</v>
      </c>
      <c r="AU415" s="125" t="s">
        <v>102</v>
      </c>
      <c r="AV415" s="125" t="s">
        <v>16</v>
      </c>
      <c r="AW415" s="125" t="s">
        <v>112</v>
      </c>
      <c r="AX415" s="125" t="s">
        <v>72</v>
      </c>
      <c r="AY415" s="125" t="s">
        <v>161</v>
      </c>
    </row>
    <row r="416" spans="2:51" s="6" customFormat="1" ht="15.75" customHeight="1">
      <c r="B416" s="129"/>
      <c r="E416" s="130"/>
      <c r="F416" s="213" t="s">
        <v>463</v>
      </c>
      <c r="G416" s="214"/>
      <c r="H416" s="214"/>
      <c r="I416" s="214"/>
      <c r="K416" s="131">
        <v>1.5</v>
      </c>
      <c r="N416" s="130"/>
      <c r="R416" s="132"/>
      <c r="T416" s="133"/>
      <c r="AA416" s="134"/>
      <c r="AT416" s="130" t="s">
        <v>168</v>
      </c>
      <c r="AU416" s="130" t="s">
        <v>102</v>
      </c>
      <c r="AV416" s="130" t="s">
        <v>102</v>
      </c>
      <c r="AW416" s="130" t="s">
        <v>112</v>
      </c>
      <c r="AX416" s="130" t="s">
        <v>72</v>
      </c>
      <c r="AY416" s="130" t="s">
        <v>161</v>
      </c>
    </row>
    <row r="417" spans="2:51" s="6" customFormat="1" ht="15.75" customHeight="1">
      <c r="B417" s="124"/>
      <c r="E417" s="125"/>
      <c r="F417" s="211" t="s">
        <v>464</v>
      </c>
      <c r="G417" s="212"/>
      <c r="H417" s="212"/>
      <c r="I417" s="212"/>
      <c r="K417" s="125"/>
      <c r="N417" s="125"/>
      <c r="R417" s="126"/>
      <c r="T417" s="127"/>
      <c r="AA417" s="128"/>
      <c r="AT417" s="125" t="s">
        <v>168</v>
      </c>
      <c r="AU417" s="125" t="s">
        <v>102</v>
      </c>
      <c r="AV417" s="125" t="s">
        <v>16</v>
      </c>
      <c r="AW417" s="125" t="s">
        <v>112</v>
      </c>
      <c r="AX417" s="125" t="s">
        <v>72</v>
      </c>
      <c r="AY417" s="125" t="s">
        <v>161</v>
      </c>
    </row>
    <row r="418" spans="2:51" s="6" customFormat="1" ht="15.75" customHeight="1">
      <c r="B418" s="129"/>
      <c r="E418" s="130"/>
      <c r="F418" s="213" t="s">
        <v>465</v>
      </c>
      <c r="G418" s="214"/>
      <c r="H418" s="214"/>
      <c r="I418" s="214"/>
      <c r="K418" s="131">
        <v>2.7</v>
      </c>
      <c r="N418" s="130"/>
      <c r="R418" s="132"/>
      <c r="T418" s="133"/>
      <c r="AA418" s="134"/>
      <c r="AT418" s="130" t="s">
        <v>168</v>
      </c>
      <c r="AU418" s="130" t="s">
        <v>102</v>
      </c>
      <c r="AV418" s="130" t="s">
        <v>102</v>
      </c>
      <c r="AW418" s="130" t="s">
        <v>112</v>
      </c>
      <c r="AX418" s="130" t="s">
        <v>72</v>
      </c>
      <c r="AY418" s="130" t="s">
        <v>161</v>
      </c>
    </row>
    <row r="419" spans="2:51" s="6" customFormat="1" ht="15.75" customHeight="1">
      <c r="B419" s="135"/>
      <c r="E419" s="136"/>
      <c r="F419" s="215" t="s">
        <v>171</v>
      </c>
      <c r="G419" s="216"/>
      <c r="H419" s="216"/>
      <c r="I419" s="216"/>
      <c r="K419" s="137">
        <v>5.6</v>
      </c>
      <c r="N419" s="136"/>
      <c r="R419" s="138"/>
      <c r="T419" s="139"/>
      <c r="AA419" s="140"/>
      <c r="AT419" s="136" t="s">
        <v>168</v>
      </c>
      <c r="AU419" s="136" t="s">
        <v>102</v>
      </c>
      <c r="AV419" s="136" t="s">
        <v>166</v>
      </c>
      <c r="AW419" s="136" t="s">
        <v>112</v>
      </c>
      <c r="AX419" s="136" t="s">
        <v>16</v>
      </c>
      <c r="AY419" s="136" t="s">
        <v>161</v>
      </c>
    </row>
    <row r="420" spans="2:63" s="6" customFormat="1" ht="27" customHeight="1">
      <c r="B420" s="20"/>
      <c r="C420" s="117" t="s">
        <v>466</v>
      </c>
      <c r="D420" s="117" t="s">
        <v>162</v>
      </c>
      <c r="E420" s="118" t="s">
        <v>467</v>
      </c>
      <c r="F420" s="204" t="s">
        <v>468</v>
      </c>
      <c r="G420" s="205"/>
      <c r="H420" s="205"/>
      <c r="I420" s="205"/>
      <c r="J420" s="119" t="s">
        <v>245</v>
      </c>
      <c r="K420" s="120">
        <v>0.5</v>
      </c>
      <c r="L420" s="206">
        <v>0</v>
      </c>
      <c r="M420" s="205"/>
      <c r="N420" s="207">
        <f>ROUND($L$420*$K$420,2)</f>
        <v>0</v>
      </c>
      <c r="O420" s="205"/>
      <c r="P420" s="205"/>
      <c r="Q420" s="205"/>
      <c r="R420" s="21"/>
      <c r="T420" s="121"/>
      <c r="U420" s="27" t="s">
        <v>37</v>
      </c>
      <c r="V420" s="122">
        <v>3.245</v>
      </c>
      <c r="W420" s="122">
        <f>$V$420*$K$420</f>
        <v>1.6225</v>
      </c>
      <c r="X420" s="122">
        <v>0.00069</v>
      </c>
      <c r="Y420" s="122">
        <f>$X$420*$K$420</f>
        <v>0.000345</v>
      </c>
      <c r="Z420" s="122">
        <v>0.011</v>
      </c>
      <c r="AA420" s="123">
        <f>$Z$420*$K$420</f>
        <v>0.0055</v>
      </c>
      <c r="AR420" s="6" t="s">
        <v>166</v>
      </c>
      <c r="AT420" s="6" t="s">
        <v>162</v>
      </c>
      <c r="AU420" s="6" t="s">
        <v>102</v>
      </c>
      <c r="AY420" s="6" t="s">
        <v>161</v>
      </c>
      <c r="BE420" s="76">
        <f>IF($U$420="základní",$N$420,0)</f>
        <v>0</v>
      </c>
      <c r="BF420" s="76">
        <f>IF($U$420="snížená",$N$420,0)</f>
        <v>0</v>
      </c>
      <c r="BG420" s="76">
        <f>IF($U$420="zákl. přenesená",$N$420,0)</f>
        <v>0</v>
      </c>
      <c r="BH420" s="76">
        <f>IF($U$420="sníž. přenesená",$N$420,0)</f>
        <v>0</v>
      </c>
      <c r="BI420" s="76">
        <f>IF($U$420="nulová",$N$420,0)</f>
        <v>0</v>
      </c>
      <c r="BJ420" s="6" t="s">
        <v>16</v>
      </c>
      <c r="BK420" s="76">
        <f>ROUND($L$420*$K$420,2)</f>
        <v>0</v>
      </c>
    </row>
    <row r="421" spans="2:51" s="6" customFormat="1" ht="15.75" customHeight="1">
      <c r="B421" s="124"/>
      <c r="E421" s="125"/>
      <c r="F421" s="211" t="s">
        <v>310</v>
      </c>
      <c r="G421" s="212"/>
      <c r="H421" s="212"/>
      <c r="I421" s="212"/>
      <c r="K421" s="125"/>
      <c r="N421" s="125"/>
      <c r="R421" s="126"/>
      <c r="T421" s="127"/>
      <c r="AA421" s="128"/>
      <c r="AT421" s="125" t="s">
        <v>168</v>
      </c>
      <c r="AU421" s="125" t="s">
        <v>102</v>
      </c>
      <c r="AV421" s="125" t="s">
        <v>16</v>
      </c>
      <c r="AW421" s="125" t="s">
        <v>112</v>
      </c>
      <c r="AX421" s="125" t="s">
        <v>72</v>
      </c>
      <c r="AY421" s="125" t="s">
        <v>161</v>
      </c>
    </row>
    <row r="422" spans="2:51" s="6" customFormat="1" ht="15.75" customHeight="1">
      <c r="B422" s="124"/>
      <c r="E422" s="125"/>
      <c r="F422" s="211" t="s">
        <v>469</v>
      </c>
      <c r="G422" s="212"/>
      <c r="H422" s="212"/>
      <c r="I422" s="212"/>
      <c r="K422" s="125"/>
      <c r="N422" s="125"/>
      <c r="R422" s="126"/>
      <c r="T422" s="127"/>
      <c r="AA422" s="128"/>
      <c r="AT422" s="125" t="s">
        <v>168</v>
      </c>
      <c r="AU422" s="125" t="s">
        <v>102</v>
      </c>
      <c r="AV422" s="125" t="s">
        <v>16</v>
      </c>
      <c r="AW422" s="125" t="s">
        <v>112</v>
      </c>
      <c r="AX422" s="125" t="s">
        <v>72</v>
      </c>
      <c r="AY422" s="125" t="s">
        <v>161</v>
      </c>
    </row>
    <row r="423" spans="2:51" s="6" customFormat="1" ht="15.75" customHeight="1">
      <c r="B423" s="129"/>
      <c r="E423" s="130"/>
      <c r="F423" s="213" t="s">
        <v>470</v>
      </c>
      <c r="G423" s="214"/>
      <c r="H423" s="214"/>
      <c r="I423" s="214"/>
      <c r="K423" s="131">
        <v>0.5</v>
      </c>
      <c r="N423" s="130"/>
      <c r="R423" s="132"/>
      <c r="T423" s="133"/>
      <c r="AA423" s="134"/>
      <c r="AT423" s="130" t="s">
        <v>168</v>
      </c>
      <c r="AU423" s="130" t="s">
        <v>102</v>
      </c>
      <c r="AV423" s="130" t="s">
        <v>102</v>
      </c>
      <c r="AW423" s="130" t="s">
        <v>112</v>
      </c>
      <c r="AX423" s="130" t="s">
        <v>16</v>
      </c>
      <c r="AY423" s="130" t="s">
        <v>161</v>
      </c>
    </row>
    <row r="424" spans="2:63" s="6" customFormat="1" ht="27" customHeight="1">
      <c r="B424" s="20"/>
      <c r="C424" s="117" t="s">
        <v>471</v>
      </c>
      <c r="D424" s="117" t="s">
        <v>162</v>
      </c>
      <c r="E424" s="118" t="s">
        <v>472</v>
      </c>
      <c r="F424" s="204" t="s">
        <v>473</v>
      </c>
      <c r="G424" s="205"/>
      <c r="H424" s="205"/>
      <c r="I424" s="205"/>
      <c r="J424" s="119" t="s">
        <v>174</v>
      </c>
      <c r="K424" s="120">
        <v>27.834</v>
      </c>
      <c r="L424" s="206">
        <v>0</v>
      </c>
      <c r="M424" s="205"/>
      <c r="N424" s="207">
        <f>ROUND($L$424*$K$424,2)</f>
        <v>0</v>
      </c>
      <c r="O424" s="205"/>
      <c r="P424" s="205"/>
      <c r="Q424" s="205"/>
      <c r="R424" s="21"/>
      <c r="T424" s="121"/>
      <c r="U424" s="27" t="s">
        <v>37</v>
      </c>
      <c r="V424" s="122">
        <v>0.462</v>
      </c>
      <c r="W424" s="122">
        <f>$V$424*$K$424</f>
        <v>12.859308</v>
      </c>
      <c r="X424" s="122">
        <v>0</v>
      </c>
      <c r="Y424" s="122">
        <f>$X$424*$K$424</f>
        <v>0</v>
      </c>
      <c r="Z424" s="122">
        <v>0.05</v>
      </c>
      <c r="AA424" s="123">
        <f>$Z$424*$K$424</f>
        <v>1.3917000000000002</v>
      </c>
      <c r="AR424" s="6" t="s">
        <v>166</v>
      </c>
      <c r="AT424" s="6" t="s">
        <v>162</v>
      </c>
      <c r="AU424" s="6" t="s">
        <v>102</v>
      </c>
      <c r="AY424" s="6" t="s">
        <v>161</v>
      </c>
      <c r="BE424" s="76">
        <f>IF($U$424="základní",$N$424,0)</f>
        <v>0</v>
      </c>
      <c r="BF424" s="76">
        <f>IF($U$424="snížená",$N$424,0)</f>
        <v>0</v>
      </c>
      <c r="BG424" s="76">
        <f>IF($U$424="zákl. přenesená",$N$424,0)</f>
        <v>0</v>
      </c>
      <c r="BH424" s="76">
        <f>IF($U$424="sníž. přenesená",$N$424,0)</f>
        <v>0</v>
      </c>
      <c r="BI424" s="76">
        <f>IF($U$424="nulová",$N$424,0)</f>
        <v>0</v>
      </c>
      <c r="BJ424" s="6" t="s">
        <v>16</v>
      </c>
      <c r="BK424" s="76">
        <f>ROUND($L$424*$K$424,2)</f>
        <v>0</v>
      </c>
    </row>
    <row r="425" spans="2:51" s="6" customFormat="1" ht="15.75" customHeight="1">
      <c r="B425" s="124"/>
      <c r="E425" s="125"/>
      <c r="F425" s="211" t="s">
        <v>219</v>
      </c>
      <c r="G425" s="212"/>
      <c r="H425" s="212"/>
      <c r="I425" s="212"/>
      <c r="K425" s="125"/>
      <c r="N425" s="125"/>
      <c r="R425" s="126"/>
      <c r="T425" s="127"/>
      <c r="AA425" s="128"/>
      <c r="AT425" s="125" t="s">
        <v>168</v>
      </c>
      <c r="AU425" s="125" t="s">
        <v>102</v>
      </c>
      <c r="AV425" s="125" t="s">
        <v>16</v>
      </c>
      <c r="AW425" s="125" t="s">
        <v>112</v>
      </c>
      <c r="AX425" s="125" t="s">
        <v>72</v>
      </c>
      <c r="AY425" s="125" t="s">
        <v>161</v>
      </c>
    </row>
    <row r="426" spans="2:51" s="6" customFormat="1" ht="15.75" customHeight="1">
      <c r="B426" s="124"/>
      <c r="E426" s="125"/>
      <c r="F426" s="211" t="s">
        <v>437</v>
      </c>
      <c r="G426" s="212"/>
      <c r="H426" s="212"/>
      <c r="I426" s="212"/>
      <c r="K426" s="125"/>
      <c r="N426" s="125"/>
      <c r="R426" s="126"/>
      <c r="T426" s="127"/>
      <c r="AA426" s="128"/>
      <c r="AT426" s="125" t="s">
        <v>168</v>
      </c>
      <c r="AU426" s="125" t="s">
        <v>102</v>
      </c>
      <c r="AV426" s="125" t="s">
        <v>16</v>
      </c>
      <c r="AW426" s="125" t="s">
        <v>112</v>
      </c>
      <c r="AX426" s="125" t="s">
        <v>72</v>
      </c>
      <c r="AY426" s="125" t="s">
        <v>161</v>
      </c>
    </row>
    <row r="427" spans="2:51" s="6" customFormat="1" ht="15.75" customHeight="1">
      <c r="B427" s="124"/>
      <c r="E427" s="125"/>
      <c r="F427" s="211" t="s">
        <v>436</v>
      </c>
      <c r="G427" s="212"/>
      <c r="H427" s="212"/>
      <c r="I427" s="212"/>
      <c r="K427" s="125"/>
      <c r="N427" s="125"/>
      <c r="R427" s="126"/>
      <c r="T427" s="127"/>
      <c r="AA427" s="128"/>
      <c r="AT427" s="125" t="s">
        <v>168</v>
      </c>
      <c r="AU427" s="125" t="s">
        <v>102</v>
      </c>
      <c r="AV427" s="125" t="s">
        <v>16</v>
      </c>
      <c r="AW427" s="125" t="s">
        <v>112</v>
      </c>
      <c r="AX427" s="125" t="s">
        <v>72</v>
      </c>
      <c r="AY427" s="125" t="s">
        <v>161</v>
      </c>
    </row>
    <row r="428" spans="2:51" s="6" customFormat="1" ht="15.75" customHeight="1">
      <c r="B428" s="124"/>
      <c r="E428" s="125"/>
      <c r="F428" s="211" t="s">
        <v>437</v>
      </c>
      <c r="G428" s="212"/>
      <c r="H428" s="212"/>
      <c r="I428" s="212"/>
      <c r="K428" s="125"/>
      <c r="N428" s="125"/>
      <c r="R428" s="126"/>
      <c r="T428" s="127"/>
      <c r="AA428" s="128"/>
      <c r="AT428" s="125" t="s">
        <v>168</v>
      </c>
      <c r="AU428" s="125" t="s">
        <v>102</v>
      </c>
      <c r="AV428" s="125" t="s">
        <v>16</v>
      </c>
      <c r="AW428" s="125" t="s">
        <v>112</v>
      </c>
      <c r="AX428" s="125" t="s">
        <v>72</v>
      </c>
      <c r="AY428" s="125" t="s">
        <v>161</v>
      </c>
    </row>
    <row r="429" spans="2:51" s="6" customFormat="1" ht="15.75" customHeight="1">
      <c r="B429" s="129"/>
      <c r="E429" s="130"/>
      <c r="F429" s="213" t="s">
        <v>474</v>
      </c>
      <c r="G429" s="214"/>
      <c r="H429" s="214"/>
      <c r="I429" s="214"/>
      <c r="K429" s="131">
        <v>14.084</v>
      </c>
      <c r="N429" s="130"/>
      <c r="R429" s="132"/>
      <c r="T429" s="133"/>
      <c r="AA429" s="134"/>
      <c r="AT429" s="130" t="s">
        <v>168</v>
      </c>
      <c r="AU429" s="130" t="s">
        <v>102</v>
      </c>
      <c r="AV429" s="130" t="s">
        <v>102</v>
      </c>
      <c r="AW429" s="130" t="s">
        <v>112</v>
      </c>
      <c r="AX429" s="130" t="s">
        <v>72</v>
      </c>
      <c r="AY429" s="130" t="s">
        <v>161</v>
      </c>
    </row>
    <row r="430" spans="2:51" s="6" customFormat="1" ht="15.75" customHeight="1">
      <c r="B430" s="129"/>
      <c r="E430" s="130"/>
      <c r="F430" s="213" t="s">
        <v>475</v>
      </c>
      <c r="G430" s="214"/>
      <c r="H430" s="214"/>
      <c r="I430" s="214"/>
      <c r="K430" s="131">
        <v>1.62</v>
      </c>
      <c r="N430" s="130"/>
      <c r="R430" s="132"/>
      <c r="T430" s="133"/>
      <c r="AA430" s="134"/>
      <c r="AT430" s="130" t="s">
        <v>168</v>
      </c>
      <c r="AU430" s="130" t="s">
        <v>102</v>
      </c>
      <c r="AV430" s="130" t="s">
        <v>102</v>
      </c>
      <c r="AW430" s="130" t="s">
        <v>112</v>
      </c>
      <c r="AX430" s="130" t="s">
        <v>72</v>
      </c>
      <c r="AY430" s="130" t="s">
        <v>161</v>
      </c>
    </row>
    <row r="431" spans="2:51" s="6" customFormat="1" ht="15.75" customHeight="1">
      <c r="B431" s="129"/>
      <c r="E431" s="130"/>
      <c r="F431" s="213" t="s">
        <v>476</v>
      </c>
      <c r="G431" s="214"/>
      <c r="H431" s="214"/>
      <c r="I431" s="214"/>
      <c r="K431" s="131">
        <v>3.6</v>
      </c>
      <c r="N431" s="130"/>
      <c r="R431" s="132"/>
      <c r="T431" s="133"/>
      <c r="AA431" s="134"/>
      <c r="AT431" s="130" t="s">
        <v>168</v>
      </c>
      <c r="AU431" s="130" t="s">
        <v>102</v>
      </c>
      <c r="AV431" s="130" t="s">
        <v>102</v>
      </c>
      <c r="AW431" s="130" t="s">
        <v>112</v>
      </c>
      <c r="AX431" s="130" t="s">
        <v>72</v>
      </c>
      <c r="AY431" s="130" t="s">
        <v>161</v>
      </c>
    </row>
    <row r="432" spans="2:51" s="6" customFormat="1" ht="15.75" customHeight="1">
      <c r="B432" s="129"/>
      <c r="E432" s="130"/>
      <c r="F432" s="213" t="s">
        <v>477</v>
      </c>
      <c r="G432" s="214"/>
      <c r="H432" s="214"/>
      <c r="I432" s="214"/>
      <c r="K432" s="131">
        <v>3.45</v>
      </c>
      <c r="N432" s="130"/>
      <c r="R432" s="132"/>
      <c r="T432" s="133"/>
      <c r="AA432" s="134"/>
      <c r="AT432" s="130" t="s">
        <v>168</v>
      </c>
      <c r="AU432" s="130" t="s">
        <v>102</v>
      </c>
      <c r="AV432" s="130" t="s">
        <v>102</v>
      </c>
      <c r="AW432" s="130" t="s">
        <v>112</v>
      </c>
      <c r="AX432" s="130" t="s">
        <v>72</v>
      </c>
      <c r="AY432" s="130" t="s">
        <v>161</v>
      </c>
    </row>
    <row r="433" spans="2:51" s="6" customFormat="1" ht="15.75" customHeight="1">
      <c r="B433" s="129"/>
      <c r="E433" s="130"/>
      <c r="F433" s="213" t="s">
        <v>478</v>
      </c>
      <c r="G433" s="214"/>
      <c r="H433" s="214"/>
      <c r="I433" s="214"/>
      <c r="K433" s="131">
        <v>4.64</v>
      </c>
      <c r="N433" s="130"/>
      <c r="R433" s="132"/>
      <c r="T433" s="133"/>
      <c r="AA433" s="134"/>
      <c r="AT433" s="130" t="s">
        <v>168</v>
      </c>
      <c r="AU433" s="130" t="s">
        <v>102</v>
      </c>
      <c r="AV433" s="130" t="s">
        <v>102</v>
      </c>
      <c r="AW433" s="130" t="s">
        <v>112</v>
      </c>
      <c r="AX433" s="130" t="s">
        <v>72</v>
      </c>
      <c r="AY433" s="130" t="s">
        <v>161</v>
      </c>
    </row>
    <row r="434" spans="2:51" s="6" customFormat="1" ht="15.75" customHeight="1">
      <c r="B434" s="129"/>
      <c r="E434" s="130"/>
      <c r="F434" s="213" t="s">
        <v>443</v>
      </c>
      <c r="G434" s="214"/>
      <c r="H434" s="214"/>
      <c r="I434" s="214"/>
      <c r="K434" s="131">
        <v>0.44</v>
      </c>
      <c r="N434" s="130"/>
      <c r="R434" s="132"/>
      <c r="T434" s="133"/>
      <c r="AA434" s="134"/>
      <c r="AT434" s="130" t="s">
        <v>168</v>
      </c>
      <c r="AU434" s="130" t="s">
        <v>102</v>
      </c>
      <c r="AV434" s="130" t="s">
        <v>102</v>
      </c>
      <c r="AW434" s="130" t="s">
        <v>112</v>
      </c>
      <c r="AX434" s="130" t="s">
        <v>72</v>
      </c>
      <c r="AY434" s="130" t="s">
        <v>161</v>
      </c>
    </row>
    <row r="435" spans="2:51" s="6" customFormat="1" ht="15.75" customHeight="1">
      <c r="B435" s="135"/>
      <c r="E435" s="136"/>
      <c r="F435" s="215" t="s">
        <v>171</v>
      </c>
      <c r="G435" s="216"/>
      <c r="H435" s="216"/>
      <c r="I435" s="216"/>
      <c r="K435" s="137">
        <v>27.834</v>
      </c>
      <c r="N435" s="136"/>
      <c r="R435" s="138"/>
      <c r="T435" s="139"/>
      <c r="AA435" s="140"/>
      <c r="AT435" s="136" t="s">
        <v>168</v>
      </c>
      <c r="AU435" s="136" t="s">
        <v>102</v>
      </c>
      <c r="AV435" s="136" t="s">
        <v>166</v>
      </c>
      <c r="AW435" s="136" t="s">
        <v>112</v>
      </c>
      <c r="AX435" s="136" t="s">
        <v>16</v>
      </c>
      <c r="AY435" s="136" t="s">
        <v>161</v>
      </c>
    </row>
    <row r="436" spans="2:63" s="6" customFormat="1" ht="27" customHeight="1">
      <c r="B436" s="20"/>
      <c r="C436" s="117" t="s">
        <v>479</v>
      </c>
      <c r="D436" s="117" t="s">
        <v>162</v>
      </c>
      <c r="E436" s="118" t="s">
        <v>480</v>
      </c>
      <c r="F436" s="204" t="s">
        <v>481</v>
      </c>
      <c r="G436" s="205"/>
      <c r="H436" s="205"/>
      <c r="I436" s="205"/>
      <c r="J436" s="119" t="s">
        <v>174</v>
      </c>
      <c r="K436" s="120">
        <v>23.515</v>
      </c>
      <c r="L436" s="206">
        <v>0</v>
      </c>
      <c r="M436" s="205"/>
      <c r="N436" s="207">
        <f>ROUND($L$436*$K$436,2)</f>
        <v>0</v>
      </c>
      <c r="O436" s="205"/>
      <c r="P436" s="205"/>
      <c r="Q436" s="205"/>
      <c r="R436" s="21"/>
      <c r="T436" s="121"/>
      <c r="U436" s="27" t="s">
        <v>37</v>
      </c>
      <c r="V436" s="122">
        <v>0.26</v>
      </c>
      <c r="W436" s="122">
        <f>$V$436*$K$436</f>
        <v>6.1139</v>
      </c>
      <c r="X436" s="122">
        <v>0</v>
      </c>
      <c r="Y436" s="122">
        <f>$X$436*$K$436</f>
        <v>0</v>
      </c>
      <c r="Z436" s="122">
        <v>0.046</v>
      </c>
      <c r="AA436" s="123">
        <f>$Z$436*$K$436</f>
        <v>1.08169</v>
      </c>
      <c r="AR436" s="6" t="s">
        <v>166</v>
      </c>
      <c r="AT436" s="6" t="s">
        <v>162</v>
      </c>
      <c r="AU436" s="6" t="s">
        <v>102</v>
      </c>
      <c r="AY436" s="6" t="s">
        <v>161</v>
      </c>
      <c r="BE436" s="76">
        <f>IF($U$436="základní",$N$436,0)</f>
        <v>0</v>
      </c>
      <c r="BF436" s="76">
        <f>IF($U$436="snížená",$N$436,0)</f>
        <v>0</v>
      </c>
      <c r="BG436" s="76">
        <f>IF($U$436="zákl. přenesená",$N$436,0)</f>
        <v>0</v>
      </c>
      <c r="BH436" s="76">
        <f>IF($U$436="sníž. přenesená",$N$436,0)</f>
        <v>0</v>
      </c>
      <c r="BI436" s="76">
        <f>IF($U$436="nulová",$N$436,0)</f>
        <v>0</v>
      </c>
      <c r="BJ436" s="6" t="s">
        <v>16</v>
      </c>
      <c r="BK436" s="76">
        <f>ROUND($L$436*$K$436,2)</f>
        <v>0</v>
      </c>
    </row>
    <row r="437" spans="2:51" s="6" customFormat="1" ht="15.75" customHeight="1">
      <c r="B437" s="124"/>
      <c r="E437" s="125"/>
      <c r="F437" s="211" t="s">
        <v>219</v>
      </c>
      <c r="G437" s="212"/>
      <c r="H437" s="212"/>
      <c r="I437" s="212"/>
      <c r="K437" s="125"/>
      <c r="N437" s="125"/>
      <c r="R437" s="126"/>
      <c r="T437" s="127"/>
      <c r="AA437" s="128"/>
      <c r="AT437" s="125" t="s">
        <v>168</v>
      </c>
      <c r="AU437" s="125" t="s">
        <v>102</v>
      </c>
      <c r="AV437" s="125" t="s">
        <v>16</v>
      </c>
      <c r="AW437" s="125" t="s">
        <v>112</v>
      </c>
      <c r="AX437" s="125" t="s">
        <v>72</v>
      </c>
      <c r="AY437" s="125" t="s">
        <v>161</v>
      </c>
    </row>
    <row r="438" spans="2:51" s="6" customFormat="1" ht="15.75" customHeight="1">
      <c r="B438" s="124"/>
      <c r="E438" s="125"/>
      <c r="F438" s="211" t="s">
        <v>482</v>
      </c>
      <c r="G438" s="212"/>
      <c r="H438" s="212"/>
      <c r="I438" s="212"/>
      <c r="K438" s="125"/>
      <c r="N438" s="125"/>
      <c r="R438" s="126"/>
      <c r="T438" s="127"/>
      <c r="AA438" s="128"/>
      <c r="AT438" s="125" t="s">
        <v>168</v>
      </c>
      <c r="AU438" s="125" t="s">
        <v>102</v>
      </c>
      <c r="AV438" s="125" t="s">
        <v>16</v>
      </c>
      <c r="AW438" s="125" t="s">
        <v>112</v>
      </c>
      <c r="AX438" s="125" t="s">
        <v>72</v>
      </c>
      <c r="AY438" s="125" t="s">
        <v>161</v>
      </c>
    </row>
    <row r="439" spans="2:51" s="6" customFormat="1" ht="15.75" customHeight="1">
      <c r="B439" s="129"/>
      <c r="E439" s="130"/>
      <c r="F439" s="213" t="s">
        <v>483</v>
      </c>
      <c r="G439" s="214"/>
      <c r="H439" s="214"/>
      <c r="I439" s="214"/>
      <c r="K439" s="131">
        <v>7.515</v>
      </c>
      <c r="N439" s="130"/>
      <c r="R439" s="132"/>
      <c r="T439" s="133"/>
      <c r="AA439" s="134"/>
      <c r="AT439" s="130" t="s">
        <v>168</v>
      </c>
      <c r="AU439" s="130" t="s">
        <v>102</v>
      </c>
      <c r="AV439" s="130" t="s">
        <v>102</v>
      </c>
      <c r="AW439" s="130" t="s">
        <v>112</v>
      </c>
      <c r="AX439" s="130" t="s">
        <v>72</v>
      </c>
      <c r="AY439" s="130" t="s">
        <v>161</v>
      </c>
    </row>
    <row r="440" spans="2:51" s="6" customFormat="1" ht="15.75" customHeight="1">
      <c r="B440" s="124"/>
      <c r="E440" s="125"/>
      <c r="F440" s="211" t="s">
        <v>210</v>
      </c>
      <c r="G440" s="212"/>
      <c r="H440" s="212"/>
      <c r="I440" s="212"/>
      <c r="K440" s="125"/>
      <c r="N440" s="125"/>
      <c r="R440" s="126"/>
      <c r="T440" s="127"/>
      <c r="AA440" s="128"/>
      <c r="AT440" s="125" t="s">
        <v>168</v>
      </c>
      <c r="AU440" s="125" t="s">
        <v>102</v>
      </c>
      <c r="AV440" s="125" t="s">
        <v>16</v>
      </c>
      <c r="AW440" s="125" t="s">
        <v>112</v>
      </c>
      <c r="AX440" s="125" t="s">
        <v>72</v>
      </c>
      <c r="AY440" s="125" t="s">
        <v>161</v>
      </c>
    </row>
    <row r="441" spans="2:51" s="6" customFormat="1" ht="15.75" customHeight="1">
      <c r="B441" s="129"/>
      <c r="E441" s="130"/>
      <c r="F441" s="213" t="s">
        <v>311</v>
      </c>
      <c r="G441" s="214"/>
      <c r="H441" s="214"/>
      <c r="I441" s="214"/>
      <c r="K441" s="131">
        <v>16</v>
      </c>
      <c r="N441" s="130"/>
      <c r="R441" s="132"/>
      <c r="T441" s="133"/>
      <c r="AA441" s="134"/>
      <c r="AT441" s="130" t="s">
        <v>168</v>
      </c>
      <c r="AU441" s="130" t="s">
        <v>102</v>
      </c>
      <c r="AV441" s="130" t="s">
        <v>102</v>
      </c>
      <c r="AW441" s="130" t="s">
        <v>112</v>
      </c>
      <c r="AX441" s="130" t="s">
        <v>72</v>
      </c>
      <c r="AY441" s="130" t="s">
        <v>161</v>
      </c>
    </row>
    <row r="442" spans="2:51" s="6" customFormat="1" ht="15.75" customHeight="1">
      <c r="B442" s="129"/>
      <c r="E442" s="130"/>
      <c r="F442" s="213"/>
      <c r="G442" s="214"/>
      <c r="H442" s="214"/>
      <c r="I442" s="214"/>
      <c r="K442" s="131">
        <v>0</v>
      </c>
      <c r="N442" s="130"/>
      <c r="R442" s="132"/>
      <c r="T442" s="133"/>
      <c r="AA442" s="134"/>
      <c r="AT442" s="130" t="s">
        <v>168</v>
      </c>
      <c r="AU442" s="130" t="s">
        <v>102</v>
      </c>
      <c r="AV442" s="130" t="s">
        <v>102</v>
      </c>
      <c r="AW442" s="130" t="s">
        <v>112</v>
      </c>
      <c r="AX442" s="130" t="s">
        <v>72</v>
      </c>
      <c r="AY442" s="130" t="s">
        <v>161</v>
      </c>
    </row>
    <row r="443" spans="2:51" s="6" customFormat="1" ht="15.75" customHeight="1">
      <c r="B443" s="135"/>
      <c r="E443" s="136"/>
      <c r="F443" s="215" t="s">
        <v>171</v>
      </c>
      <c r="G443" s="216"/>
      <c r="H443" s="216"/>
      <c r="I443" s="216"/>
      <c r="K443" s="137">
        <v>23.515</v>
      </c>
      <c r="N443" s="136"/>
      <c r="R443" s="138"/>
      <c r="T443" s="139"/>
      <c r="AA443" s="140"/>
      <c r="AT443" s="136" t="s">
        <v>168</v>
      </c>
      <c r="AU443" s="136" t="s">
        <v>102</v>
      </c>
      <c r="AV443" s="136" t="s">
        <v>166</v>
      </c>
      <c r="AW443" s="136" t="s">
        <v>112</v>
      </c>
      <c r="AX443" s="136" t="s">
        <v>16</v>
      </c>
      <c r="AY443" s="136" t="s">
        <v>161</v>
      </c>
    </row>
    <row r="444" spans="2:63" s="6" customFormat="1" ht="27" customHeight="1">
      <c r="B444" s="20"/>
      <c r="C444" s="117" t="s">
        <v>484</v>
      </c>
      <c r="D444" s="117" t="s">
        <v>162</v>
      </c>
      <c r="E444" s="118" t="s">
        <v>485</v>
      </c>
      <c r="F444" s="204" t="s">
        <v>486</v>
      </c>
      <c r="G444" s="205"/>
      <c r="H444" s="205"/>
      <c r="I444" s="205"/>
      <c r="J444" s="119" t="s">
        <v>174</v>
      </c>
      <c r="K444" s="120">
        <v>9.018</v>
      </c>
      <c r="L444" s="206">
        <v>0</v>
      </c>
      <c r="M444" s="205"/>
      <c r="N444" s="207">
        <f>ROUND($L$444*$K$444,2)</f>
        <v>0</v>
      </c>
      <c r="O444" s="205"/>
      <c r="P444" s="205"/>
      <c r="Q444" s="205"/>
      <c r="R444" s="21"/>
      <c r="T444" s="121"/>
      <c r="U444" s="27" t="s">
        <v>37</v>
      </c>
      <c r="V444" s="122">
        <v>0.22</v>
      </c>
      <c r="W444" s="122">
        <f>$V$444*$K$444</f>
        <v>1.9839600000000002</v>
      </c>
      <c r="X444" s="122">
        <v>0</v>
      </c>
      <c r="Y444" s="122">
        <f>$X$444*$K$444</f>
        <v>0</v>
      </c>
      <c r="Z444" s="122">
        <v>0.059</v>
      </c>
      <c r="AA444" s="123">
        <f>$Z$444*$K$444</f>
        <v>0.532062</v>
      </c>
      <c r="AR444" s="6" t="s">
        <v>166</v>
      </c>
      <c r="AT444" s="6" t="s">
        <v>162</v>
      </c>
      <c r="AU444" s="6" t="s">
        <v>102</v>
      </c>
      <c r="AY444" s="6" t="s">
        <v>161</v>
      </c>
      <c r="BE444" s="76">
        <f>IF($U$444="základní",$N$444,0)</f>
        <v>0</v>
      </c>
      <c r="BF444" s="76">
        <f>IF($U$444="snížená",$N$444,0)</f>
        <v>0</v>
      </c>
      <c r="BG444" s="76">
        <f>IF($U$444="zákl. přenesená",$N$444,0)</f>
        <v>0</v>
      </c>
      <c r="BH444" s="76">
        <f>IF($U$444="sníž. přenesená",$N$444,0)</f>
        <v>0</v>
      </c>
      <c r="BI444" s="76">
        <f>IF($U$444="nulová",$N$444,0)</f>
        <v>0</v>
      </c>
      <c r="BJ444" s="6" t="s">
        <v>16</v>
      </c>
      <c r="BK444" s="76">
        <f>ROUND($L$444*$K$444,2)</f>
        <v>0</v>
      </c>
    </row>
    <row r="445" spans="2:51" s="6" customFormat="1" ht="15.75" customHeight="1">
      <c r="B445" s="124"/>
      <c r="E445" s="125"/>
      <c r="F445" s="211" t="s">
        <v>219</v>
      </c>
      <c r="G445" s="212"/>
      <c r="H445" s="212"/>
      <c r="I445" s="212"/>
      <c r="K445" s="125"/>
      <c r="N445" s="125"/>
      <c r="R445" s="126"/>
      <c r="T445" s="127"/>
      <c r="AA445" s="128"/>
      <c r="AT445" s="125" t="s">
        <v>168</v>
      </c>
      <c r="AU445" s="125" t="s">
        <v>102</v>
      </c>
      <c r="AV445" s="125" t="s">
        <v>16</v>
      </c>
      <c r="AW445" s="125" t="s">
        <v>112</v>
      </c>
      <c r="AX445" s="125" t="s">
        <v>72</v>
      </c>
      <c r="AY445" s="125" t="s">
        <v>161</v>
      </c>
    </row>
    <row r="446" spans="2:51" s="6" customFormat="1" ht="15.75" customHeight="1">
      <c r="B446" s="129"/>
      <c r="E446" s="130"/>
      <c r="F446" s="213" t="s">
        <v>487</v>
      </c>
      <c r="G446" s="214"/>
      <c r="H446" s="214"/>
      <c r="I446" s="214"/>
      <c r="K446" s="131">
        <v>9.018</v>
      </c>
      <c r="N446" s="130"/>
      <c r="R446" s="132"/>
      <c r="T446" s="133"/>
      <c r="AA446" s="134"/>
      <c r="AT446" s="130" t="s">
        <v>168</v>
      </c>
      <c r="AU446" s="130" t="s">
        <v>102</v>
      </c>
      <c r="AV446" s="130" t="s">
        <v>102</v>
      </c>
      <c r="AW446" s="130" t="s">
        <v>112</v>
      </c>
      <c r="AX446" s="130" t="s">
        <v>72</v>
      </c>
      <c r="AY446" s="130" t="s">
        <v>161</v>
      </c>
    </row>
    <row r="447" spans="2:51" s="6" customFormat="1" ht="15.75" customHeight="1">
      <c r="B447" s="135"/>
      <c r="E447" s="136"/>
      <c r="F447" s="215" t="s">
        <v>171</v>
      </c>
      <c r="G447" s="216"/>
      <c r="H447" s="216"/>
      <c r="I447" s="216"/>
      <c r="K447" s="137">
        <v>9.018</v>
      </c>
      <c r="N447" s="136"/>
      <c r="R447" s="138"/>
      <c r="T447" s="139"/>
      <c r="AA447" s="140"/>
      <c r="AT447" s="136" t="s">
        <v>168</v>
      </c>
      <c r="AU447" s="136" t="s">
        <v>102</v>
      </c>
      <c r="AV447" s="136" t="s">
        <v>166</v>
      </c>
      <c r="AW447" s="136" t="s">
        <v>112</v>
      </c>
      <c r="AX447" s="136" t="s">
        <v>16</v>
      </c>
      <c r="AY447" s="136" t="s">
        <v>161</v>
      </c>
    </row>
    <row r="448" spans="2:63" s="107" customFormat="1" ht="23.25" customHeight="1">
      <c r="B448" s="108"/>
      <c r="D448" s="116" t="s">
        <v>120</v>
      </c>
      <c r="N448" s="222">
        <f>$BK$448</f>
        <v>0</v>
      </c>
      <c r="O448" s="210"/>
      <c r="P448" s="210"/>
      <c r="Q448" s="210"/>
      <c r="R448" s="111"/>
      <c r="T448" s="112"/>
      <c r="W448" s="113">
        <f>SUM($W$449:$W$453)</f>
        <v>377.161827</v>
      </c>
      <c r="Y448" s="113">
        <f>SUM($Y$449:$Y$453)</f>
        <v>0</v>
      </c>
      <c r="AA448" s="114">
        <f>SUM($AA$449:$AA$453)</f>
        <v>0</v>
      </c>
      <c r="AR448" s="110" t="s">
        <v>16</v>
      </c>
      <c r="AT448" s="110" t="s">
        <v>71</v>
      </c>
      <c r="AU448" s="110" t="s">
        <v>102</v>
      </c>
      <c r="AY448" s="110" t="s">
        <v>161</v>
      </c>
      <c r="BK448" s="115">
        <f>SUM($BK$449:$BK$453)</f>
        <v>0</v>
      </c>
    </row>
    <row r="449" spans="2:63" s="6" customFormat="1" ht="27" customHeight="1">
      <c r="B449" s="20"/>
      <c r="C449" s="117" t="s">
        <v>488</v>
      </c>
      <c r="D449" s="117" t="s">
        <v>162</v>
      </c>
      <c r="E449" s="118" t="s">
        <v>489</v>
      </c>
      <c r="F449" s="204" t="s">
        <v>490</v>
      </c>
      <c r="G449" s="205"/>
      <c r="H449" s="205"/>
      <c r="I449" s="205"/>
      <c r="J449" s="119" t="s">
        <v>224</v>
      </c>
      <c r="K449" s="120">
        <v>35.463</v>
      </c>
      <c r="L449" s="206">
        <v>0</v>
      </c>
      <c r="M449" s="205"/>
      <c r="N449" s="207">
        <f>ROUND($L$449*$K$449,2)</f>
        <v>0</v>
      </c>
      <c r="O449" s="205"/>
      <c r="P449" s="205"/>
      <c r="Q449" s="205"/>
      <c r="R449" s="21"/>
      <c r="T449" s="121"/>
      <c r="U449" s="27" t="s">
        <v>37</v>
      </c>
      <c r="V449" s="122">
        <v>7.9</v>
      </c>
      <c r="W449" s="122">
        <f>$V$449*$K$449</f>
        <v>280.15770000000003</v>
      </c>
      <c r="X449" s="122">
        <v>0</v>
      </c>
      <c r="Y449" s="122">
        <f>$X$449*$K$449</f>
        <v>0</v>
      </c>
      <c r="Z449" s="122">
        <v>0</v>
      </c>
      <c r="AA449" s="123">
        <f>$Z$449*$K$449</f>
        <v>0</v>
      </c>
      <c r="AR449" s="6" t="s">
        <v>166</v>
      </c>
      <c r="AT449" s="6" t="s">
        <v>162</v>
      </c>
      <c r="AU449" s="6" t="s">
        <v>176</v>
      </c>
      <c r="AY449" s="6" t="s">
        <v>161</v>
      </c>
      <c r="BE449" s="76">
        <f>IF($U$449="základní",$N$449,0)</f>
        <v>0</v>
      </c>
      <c r="BF449" s="76">
        <f>IF($U$449="snížená",$N$449,0)</f>
        <v>0</v>
      </c>
      <c r="BG449" s="76">
        <f>IF($U$449="zákl. přenesená",$N$449,0)</f>
        <v>0</v>
      </c>
      <c r="BH449" s="76">
        <f>IF($U$449="sníž. přenesená",$N$449,0)</f>
        <v>0</v>
      </c>
      <c r="BI449" s="76">
        <f>IF($U$449="nulová",$N$449,0)</f>
        <v>0</v>
      </c>
      <c r="BJ449" s="6" t="s">
        <v>16</v>
      </c>
      <c r="BK449" s="76">
        <f>ROUND($L$449*$K$449,2)</f>
        <v>0</v>
      </c>
    </row>
    <row r="450" spans="2:63" s="6" customFormat="1" ht="27" customHeight="1">
      <c r="B450" s="20"/>
      <c r="C450" s="117" t="s">
        <v>491</v>
      </c>
      <c r="D450" s="117" t="s">
        <v>162</v>
      </c>
      <c r="E450" s="118" t="s">
        <v>492</v>
      </c>
      <c r="F450" s="204" t="s">
        <v>493</v>
      </c>
      <c r="G450" s="205"/>
      <c r="H450" s="205"/>
      <c r="I450" s="205"/>
      <c r="J450" s="119" t="s">
        <v>224</v>
      </c>
      <c r="K450" s="120">
        <v>35.463</v>
      </c>
      <c r="L450" s="206">
        <v>0</v>
      </c>
      <c r="M450" s="205"/>
      <c r="N450" s="207">
        <f>ROUND($L$450*$K$450,2)</f>
        <v>0</v>
      </c>
      <c r="O450" s="205"/>
      <c r="P450" s="205"/>
      <c r="Q450" s="205"/>
      <c r="R450" s="21"/>
      <c r="T450" s="121"/>
      <c r="U450" s="27" t="s">
        <v>37</v>
      </c>
      <c r="V450" s="122">
        <v>0.125</v>
      </c>
      <c r="W450" s="122">
        <f>$V$450*$K$450</f>
        <v>4.432875</v>
      </c>
      <c r="X450" s="122">
        <v>0</v>
      </c>
      <c r="Y450" s="122">
        <f>$X$450*$K$450</f>
        <v>0</v>
      </c>
      <c r="Z450" s="122">
        <v>0</v>
      </c>
      <c r="AA450" s="123">
        <f>$Z$450*$K$450</f>
        <v>0</v>
      </c>
      <c r="AR450" s="6" t="s">
        <v>166</v>
      </c>
      <c r="AT450" s="6" t="s">
        <v>162</v>
      </c>
      <c r="AU450" s="6" t="s">
        <v>176</v>
      </c>
      <c r="AY450" s="6" t="s">
        <v>161</v>
      </c>
      <c r="BE450" s="76">
        <f>IF($U$450="základní",$N$450,0)</f>
        <v>0</v>
      </c>
      <c r="BF450" s="76">
        <f>IF($U$450="snížená",$N$450,0)</f>
        <v>0</v>
      </c>
      <c r="BG450" s="76">
        <f>IF($U$450="zákl. přenesená",$N$450,0)</f>
        <v>0</v>
      </c>
      <c r="BH450" s="76">
        <f>IF($U$450="sníž. přenesená",$N$450,0)</f>
        <v>0</v>
      </c>
      <c r="BI450" s="76">
        <f>IF($U$450="nulová",$N$450,0)</f>
        <v>0</v>
      </c>
      <c r="BJ450" s="6" t="s">
        <v>16</v>
      </c>
      <c r="BK450" s="76">
        <f>ROUND($L$450*$K$450,2)</f>
        <v>0</v>
      </c>
    </row>
    <row r="451" spans="2:63" s="6" customFormat="1" ht="27" customHeight="1">
      <c r="B451" s="20"/>
      <c r="C451" s="117" t="s">
        <v>494</v>
      </c>
      <c r="D451" s="117" t="s">
        <v>162</v>
      </c>
      <c r="E451" s="118" t="s">
        <v>495</v>
      </c>
      <c r="F451" s="204" t="s">
        <v>496</v>
      </c>
      <c r="G451" s="205"/>
      <c r="H451" s="205"/>
      <c r="I451" s="205"/>
      <c r="J451" s="119" t="s">
        <v>224</v>
      </c>
      <c r="K451" s="120">
        <v>1205.742</v>
      </c>
      <c r="L451" s="206">
        <v>0</v>
      </c>
      <c r="M451" s="205"/>
      <c r="N451" s="207">
        <f>ROUND($L$451*$K$451,2)</f>
        <v>0</v>
      </c>
      <c r="O451" s="205"/>
      <c r="P451" s="205"/>
      <c r="Q451" s="205"/>
      <c r="R451" s="21"/>
      <c r="T451" s="121"/>
      <c r="U451" s="27" t="s">
        <v>37</v>
      </c>
      <c r="V451" s="122">
        <v>0.006</v>
      </c>
      <c r="W451" s="122">
        <f>$V$451*$K$451</f>
        <v>7.234452</v>
      </c>
      <c r="X451" s="122">
        <v>0</v>
      </c>
      <c r="Y451" s="122">
        <f>$X$451*$K$451</f>
        <v>0</v>
      </c>
      <c r="Z451" s="122">
        <v>0</v>
      </c>
      <c r="AA451" s="123">
        <f>$Z$451*$K$451</f>
        <v>0</v>
      </c>
      <c r="AR451" s="6" t="s">
        <v>166</v>
      </c>
      <c r="AT451" s="6" t="s">
        <v>162</v>
      </c>
      <c r="AU451" s="6" t="s">
        <v>176</v>
      </c>
      <c r="AY451" s="6" t="s">
        <v>161</v>
      </c>
      <c r="BE451" s="76">
        <f>IF($U$451="základní",$N$451,0)</f>
        <v>0</v>
      </c>
      <c r="BF451" s="76">
        <f>IF($U$451="snížená",$N$451,0)</f>
        <v>0</v>
      </c>
      <c r="BG451" s="76">
        <f>IF($U$451="zákl. přenesená",$N$451,0)</f>
        <v>0</v>
      </c>
      <c r="BH451" s="76">
        <f>IF($U$451="sníž. přenesená",$N$451,0)</f>
        <v>0</v>
      </c>
      <c r="BI451" s="76">
        <f>IF($U$451="nulová",$N$451,0)</f>
        <v>0</v>
      </c>
      <c r="BJ451" s="6" t="s">
        <v>16</v>
      </c>
      <c r="BK451" s="76">
        <f>ROUND($L$451*$K$451,2)</f>
        <v>0</v>
      </c>
    </row>
    <row r="452" spans="2:63" s="6" customFormat="1" ht="27" customHeight="1">
      <c r="B452" s="20"/>
      <c r="C452" s="117" t="s">
        <v>497</v>
      </c>
      <c r="D452" s="117" t="s">
        <v>162</v>
      </c>
      <c r="E452" s="118" t="s">
        <v>498</v>
      </c>
      <c r="F452" s="204" t="s">
        <v>499</v>
      </c>
      <c r="G452" s="205"/>
      <c r="H452" s="205"/>
      <c r="I452" s="205"/>
      <c r="J452" s="119" t="s">
        <v>224</v>
      </c>
      <c r="K452" s="120">
        <v>35.463</v>
      </c>
      <c r="L452" s="206">
        <v>0</v>
      </c>
      <c r="M452" s="205"/>
      <c r="N452" s="207">
        <f>ROUND($L$452*$K$452,2)</f>
        <v>0</v>
      </c>
      <c r="O452" s="205"/>
      <c r="P452" s="205"/>
      <c r="Q452" s="205"/>
      <c r="R452" s="21"/>
      <c r="T452" s="121"/>
      <c r="U452" s="27" t="s">
        <v>37</v>
      </c>
      <c r="V452" s="122">
        <v>0</v>
      </c>
      <c r="W452" s="122">
        <f>$V$452*$K$452</f>
        <v>0</v>
      </c>
      <c r="X452" s="122">
        <v>0</v>
      </c>
      <c r="Y452" s="122">
        <f>$X$452*$K$452</f>
        <v>0</v>
      </c>
      <c r="Z452" s="122">
        <v>0</v>
      </c>
      <c r="AA452" s="123">
        <f>$Z$452*$K$452</f>
        <v>0</v>
      </c>
      <c r="AR452" s="6" t="s">
        <v>166</v>
      </c>
      <c r="AT452" s="6" t="s">
        <v>162</v>
      </c>
      <c r="AU452" s="6" t="s">
        <v>176</v>
      </c>
      <c r="AY452" s="6" t="s">
        <v>161</v>
      </c>
      <c r="BE452" s="76">
        <f>IF($U$452="základní",$N$452,0)</f>
        <v>0</v>
      </c>
      <c r="BF452" s="76">
        <f>IF($U$452="snížená",$N$452,0)</f>
        <v>0</v>
      </c>
      <c r="BG452" s="76">
        <f>IF($U$452="zákl. přenesená",$N$452,0)</f>
        <v>0</v>
      </c>
      <c r="BH452" s="76">
        <f>IF($U$452="sníž. přenesená",$N$452,0)</f>
        <v>0</v>
      </c>
      <c r="BI452" s="76">
        <f>IF($U$452="nulová",$N$452,0)</f>
        <v>0</v>
      </c>
      <c r="BJ452" s="6" t="s">
        <v>16</v>
      </c>
      <c r="BK452" s="76">
        <f>ROUND($L$452*$K$452,2)</f>
        <v>0</v>
      </c>
    </row>
    <row r="453" spans="2:63" s="6" customFormat="1" ht="15.75" customHeight="1">
      <c r="B453" s="20"/>
      <c r="C453" s="117" t="s">
        <v>500</v>
      </c>
      <c r="D453" s="117" t="s">
        <v>162</v>
      </c>
      <c r="E453" s="118" t="s">
        <v>501</v>
      </c>
      <c r="F453" s="204" t="s">
        <v>502</v>
      </c>
      <c r="G453" s="205"/>
      <c r="H453" s="205"/>
      <c r="I453" s="205"/>
      <c r="J453" s="119" t="s">
        <v>224</v>
      </c>
      <c r="K453" s="120">
        <v>19.22</v>
      </c>
      <c r="L453" s="206">
        <v>0</v>
      </c>
      <c r="M453" s="205"/>
      <c r="N453" s="207">
        <f>ROUND($L$453*$K$453,2)</f>
        <v>0</v>
      </c>
      <c r="O453" s="205"/>
      <c r="P453" s="205"/>
      <c r="Q453" s="205"/>
      <c r="R453" s="21"/>
      <c r="T453" s="121"/>
      <c r="U453" s="27" t="s">
        <v>37</v>
      </c>
      <c r="V453" s="122">
        <v>4.44</v>
      </c>
      <c r="W453" s="122">
        <f>$V$453*$K$453</f>
        <v>85.3368</v>
      </c>
      <c r="X453" s="122">
        <v>0</v>
      </c>
      <c r="Y453" s="122">
        <f>$X$453*$K$453</f>
        <v>0</v>
      </c>
      <c r="Z453" s="122">
        <v>0</v>
      </c>
      <c r="AA453" s="123">
        <f>$Z$453*$K$453</f>
        <v>0</v>
      </c>
      <c r="AR453" s="6" t="s">
        <v>166</v>
      </c>
      <c r="AT453" s="6" t="s">
        <v>162</v>
      </c>
      <c r="AU453" s="6" t="s">
        <v>176</v>
      </c>
      <c r="AY453" s="6" t="s">
        <v>161</v>
      </c>
      <c r="BE453" s="76">
        <f>IF($U$453="základní",$N$453,0)</f>
        <v>0</v>
      </c>
      <c r="BF453" s="76">
        <f>IF($U$453="snížená",$N$453,0)</f>
        <v>0</v>
      </c>
      <c r="BG453" s="76">
        <f>IF($U$453="zákl. přenesená",$N$453,0)</f>
        <v>0</v>
      </c>
      <c r="BH453" s="76">
        <f>IF($U$453="sníž. přenesená",$N$453,0)</f>
        <v>0</v>
      </c>
      <c r="BI453" s="76">
        <f>IF($U$453="nulová",$N$453,0)</f>
        <v>0</v>
      </c>
      <c r="BJ453" s="6" t="s">
        <v>16</v>
      </c>
      <c r="BK453" s="76">
        <f>ROUND($L$453*$K$453,2)</f>
        <v>0</v>
      </c>
    </row>
    <row r="454" spans="2:63" s="107" customFormat="1" ht="37.5" customHeight="1">
      <c r="B454" s="108"/>
      <c r="D454" s="109" t="s">
        <v>121</v>
      </c>
      <c r="N454" s="209">
        <f>$BK$454</f>
        <v>0</v>
      </c>
      <c r="O454" s="210"/>
      <c r="P454" s="210"/>
      <c r="Q454" s="210"/>
      <c r="R454" s="111"/>
      <c r="T454" s="112"/>
      <c r="W454" s="113">
        <f>$W$455+$W$486+$W$490+$W$581+$W$613+$W$637+$W$658+$W$663+$W$682+$W$698+$W$716</f>
        <v>507.51897800000006</v>
      </c>
      <c r="Y454" s="113">
        <f>$Y$455+$Y$486+$Y$490+$Y$581+$Y$613+$Y$637+$Y$658+$Y$663+$Y$682+$Y$698+$Y$716</f>
        <v>8.261946159999999</v>
      </c>
      <c r="AA454" s="114">
        <f>$AA$455+$AA$486+$AA$490+$AA$581+$AA$613+$AA$637+$AA$658+$AA$663+$AA$682+$AA$698+$AA$716</f>
        <v>6.642609490000001</v>
      </c>
      <c r="AR454" s="110" t="s">
        <v>102</v>
      </c>
      <c r="AT454" s="110" t="s">
        <v>71</v>
      </c>
      <c r="AU454" s="110" t="s">
        <v>72</v>
      </c>
      <c r="AY454" s="110" t="s">
        <v>161</v>
      </c>
      <c r="BK454" s="115">
        <f>$BK$455+$BK$486+$BK$490+$BK$581+$BK$613+$BK$637+$BK$658+$BK$663+$BK$682+$BK$698+$BK$716</f>
        <v>0</v>
      </c>
    </row>
    <row r="455" spans="2:63" s="107" customFormat="1" ht="21" customHeight="1">
      <c r="B455" s="108"/>
      <c r="D455" s="116" t="s">
        <v>122</v>
      </c>
      <c r="N455" s="222">
        <f>$BK$455</f>
        <v>0</v>
      </c>
      <c r="O455" s="210"/>
      <c r="P455" s="210"/>
      <c r="Q455" s="210"/>
      <c r="R455" s="111"/>
      <c r="T455" s="112"/>
      <c r="W455" s="113">
        <f>SUM($W$456:$W$485)</f>
        <v>10.324860000000001</v>
      </c>
      <c r="Y455" s="113">
        <f>SUM($Y$456:$Y$485)</f>
        <v>0.3849559199999999</v>
      </c>
      <c r="AA455" s="114">
        <f>SUM($AA$456:$AA$485)</f>
        <v>0</v>
      </c>
      <c r="AR455" s="110" t="s">
        <v>102</v>
      </c>
      <c r="AT455" s="110" t="s">
        <v>71</v>
      </c>
      <c r="AU455" s="110" t="s">
        <v>16</v>
      </c>
      <c r="AY455" s="110" t="s">
        <v>161</v>
      </c>
      <c r="BK455" s="115">
        <f>SUM($BK$456:$BK$485)</f>
        <v>0</v>
      </c>
    </row>
    <row r="456" spans="2:63" s="6" customFormat="1" ht="27" customHeight="1">
      <c r="B456" s="20"/>
      <c r="C456" s="117" t="s">
        <v>503</v>
      </c>
      <c r="D456" s="117" t="s">
        <v>162</v>
      </c>
      <c r="E456" s="118" t="s">
        <v>504</v>
      </c>
      <c r="F456" s="204" t="s">
        <v>505</v>
      </c>
      <c r="G456" s="205"/>
      <c r="H456" s="205"/>
      <c r="I456" s="205"/>
      <c r="J456" s="119" t="s">
        <v>174</v>
      </c>
      <c r="K456" s="120">
        <v>31.062</v>
      </c>
      <c r="L456" s="206">
        <v>0</v>
      </c>
      <c r="M456" s="205"/>
      <c r="N456" s="207">
        <f>ROUND($L$456*$K$456,2)</f>
        <v>0</v>
      </c>
      <c r="O456" s="205"/>
      <c r="P456" s="205"/>
      <c r="Q456" s="205"/>
      <c r="R456" s="21"/>
      <c r="T456" s="121"/>
      <c r="U456" s="27" t="s">
        <v>37</v>
      </c>
      <c r="V456" s="122">
        <v>0.14</v>
      </c>
      <c r="W456" s="122">
        <f>$V$456*$K$456</f>
        <v>4.348680000000001</v>
      </c>
      <c r="X456" s="122">
        <v>0</v>
      </c>
      <c r="Y456" s="122">
        <f>$X$456*$K$456</f>
        <v>0</v>
      </c>
      <c r="Z456" s="122">
        <v>0</v>
      </c>
      <c r="AA456" s="123">
        <f>$Z$456*$K$456</f>
        <v>0</v>
      </c>
      <c r="AR456" s="6" t="s">
        <v>221</v>
      </c>
      <c r="AT456" s="6" t="s">
        <v>162</v>
      </c>
      <c r="AU456" s="6" t="s">
        <v>102</v>
      </c>
      <c r="AY456" s="6" t="s">
        <v>161</v>
      </c>
      <c r="BE456" s="76">
        <f>IF($U$456="základní",$N$456,0)</f>
        <v>0</v>
      </c>
      <c r="BF456" s="76">
        <f>IF($U$456="snížená",$N$456,0)</f>
        <v>0</v>
      </c>
      <c r="BG456" s="76">
        <f>IF($U$456="zákl. přenesená",$N$456,0)</f>
        <v>0</v>
      </c>
      <c r="BH456" s="76">
        <f>IF($U$456="sníž. přenesená",$N$456,0)</f>
        <v>0</v>
      </c>
      <c r="BI456" s="76">
        <f>IF($U$456="nulová",$N$456,0)</f>
        <v>0</v>
      </c>
      <c r="BJ456" s="6" t="s">
        <v>16</v>
      </c>
      <c r="BK456" s="76">
        <f>ROUND($L$456*$K$456,2)</f>
        <v>0</v>
      </c>
    </row>
    <row r="457" spans="2:51" s="6" customFormat="1" ht="15.75" customHeight="1">
      <c r="B457" s="124"/>
      <c r="E457" s="125"/>
      <c r="F457" s="211" t="s">
        <v>436</v>
      </c>
      <c r="G457" s="212"/>
      <c r="H457" s="212"/>
      <c r="I457" s="212"/>
      <c r="K457" s="125"/>
      <c r="N457" s="125"/>
      <c r="R457" s="126"/>
      <c r="T457" s="127"/>
      <c r="AA457" s="128"/>
      <c r="AT457" s="125" t="s">
        <v>168</v>
      </c>
      <c r="AU457" s="125" t="s">
        <v>102</v>
      </c>
      <c r="AV457" s="125" t="s">
        <v>16</v>
      </c>
      <c r="AW457" s="125" t="s">
        <v>112</v>
      </c>
      <c r="AX457" s="125" t="s">
        <v>72</v>
      </c>
      <c r="AY457" s="125" t="s">
        <v>161</v>
      </c>
    </row>
    <row r="458" spans="2:51" s="6" customFormat="1" ht="15.75" customHeight="1">
      <c r="B458" s="124"/>
      <c r="E458" s="125"/>
      <c r="F458" s="211" t="s">
        <v>437</v>
      </c>
      <c r="G458" s="212"/>
      <c r="H458" s="212"/>
      <c r="I458" s="212"/>
      <c r="K458" s="125"/>
      <c r="N458" s="125"/>
      <c r="R458" s="126"/>
      <c r="T458" s="127"/>
      <c r="AA458" s="128"/>
      <c r="AT458" s="125" t="s">
        <v>168</v>
      </c>
      <c r="AU458" s="125" t="s">
        <v>102</v>
      </c>
      <c r="AV458" s="125" t="s">
        <v>16</v>
      </c>
      <c r="AW458" s="125" t="s">
        <v>112</v>
      </c>
      <c r="AX458" s="125" t="s">
        <v>72</v>
      </c>
      <c r="AY458" s="125" t="s">
        <v>161</v>
      </c>
    </row>
    <row r="459" spans="2:51" s="6" customFormat="1" ht="15.75" customHeight="1">
      <c r="B459" s="129"/>
      <c r="E459" s="130"/>
      <c r="F459" s="213" t="s">
        <v>506</v>
      </c>
      <c r="G459" s="214"/>
      <c r="H459" s="214"/>
      <c r="I459" s="214"/>
      <c r="K459" s="131">
        <v>15.458</v>
      </c>
      <c r="N459" s="130"/>
      <c r="R459" s="132"/>
      <c r="T459" s="133"/>
      <c r="AA459" s="134"/>
      <c r="AT459" s="130" t="s">
        <v>168</v>
      </c>
      <c r="AU459" s="130" t="s">
        <v>102</v>
      </c>
      <c r="AV459" s="130" t="s">
        <v>102</v>
      </c>
      <c r="AW459" s="130" t="s">
        <v>112</v>
      </c>
      <c r="AX459" s="130" t="s">
        <v>72</v>
      </c>
      <c r="AY459" s="130" t="s">
        <v>161</v>
      </c>
    </row>
    <row r="460" spans="2:51" s="6" customFormat="1" ht="15.75" customHeight="1">
      <c r="B460" s="129"/>
      <c r="E460" s="130"/>
      <c r="F460" s="213" t="s">
        <v>507</v>
      </c>
      <c r="G460" s="214"/>
      <c r="H460" s="214"/>
      <c r="I460" s="214"/>
      <c r="K460" s="131">
        <v>1.944</v>
      </c>
      <c r="N460" s="130"/>
      <c r="R460" s="132"/>
      <c r="T460" s="133"/>
      <c r="AA460" s="134"/>
      <c r="AT460" s="130" t="s">
        <v>168</v>
      </c>
      <c r="AU460" s="130" t="s">
        <v>102</v>
      </c>
      <c r="AV460" s="130" t="s">
        <v>102</v>
      </c>
      <c r="AW460" s="130" t="s">
        <v>112</v>
      </c>
      <c r="AX460" s="130" t="s">
        <v>72</v>
      </c>
      <c r="AY460" s="130" t="s">
        <v>161</v>
      </c>
    </row>
    <row r="461" spans="2:51" s="6" customFormat="1" ht="15.75" customHeight="1">
      <c r="B461" s="129"/>
      <c r="E461" s="130"/>
      <c r="F461" s="213" t="s">
        <v>508</v>
      </c>
      <c r="G461" s="214"/>
      <c r="H461" s="214"/>
      <c r="I461" s="214"/>
      <c r="K461" s="131">
        <v>4.14</v>
      </c>
      <c r="N461" s="130"/>
      <c r="R461" s="132"/>
      <c r="T461" s="133"/>
      <c r="AA461" s="134"/>
      <c r="AT461" s="130" t="s">
        <v>168</v>
      </c>
      <c r="AU461" s="130" t="s">
        <v>102</v>
      </c>
      <c r="AV461" s="130" t="s">
        <v>102</v>
      </c>
      <c r="AW461" s="130" t="s">
        <v>112</v>
      </c>
      <c r="AX461" s="130" t="s">
        <v>72</v>
      </c>
      <c r="AY461" s="130" t="s">
        <v>161</v>
      </c>
    </row>
    <row r="462" spans="2:51" s="6" customFormat="1" ht="15.75" customHeight="1">
      <c r="B462" s="129"/>
      <c r="E462" s="130"/>
      <c r="F462" s="213" t="s">
        <v>509</v>
      </c>
      <c r="G462" s="214"/>
      <c r="H462" s="214"/>
      <c r="I462" s="214"/>
      <c r="K462" s="131">
        <v>3.9</v>
      </c>
      <c r="N462" s="130"/>
      <c r="R462" s="132"/>
      <c r="T462" s="133"/>
      <c r="AA462" s="134"/>
      <c r="AT462" s="130" t="s">
        <v>168</v>
      </c>
      <c r="AU462" s="130" t="s">
        <v>102</v>
      </c>
      <c r="AV462" s="130" t="s">
        <v>102</v>
      </c>
      <c r="AW462" s="130" t="s">
        <v>112</v>
      </c>
      <c r="AX462" s="130" t="s">
        <v>72</v>
      </c>
      <c r="AY462" s="130" t="s">
        <v>161</v>
      </c>
    </row>
    <row r="463" spans="2:51" s="6" customFormat="1" ht="15.75" customHeight="1">
      <c r="B463" s="129"/>
      <c r="E463" s="130"/>
      <c r="F463" s="213" t="s">
        <v>510</v>
      </c>
      <c r="G463" s="214"/>
      <c r="H463" s="214"/>
      <c r="I463" s="214"/>
      <c r="K463" s="131">
        <v>5.12</v>
      </c>
      <c r="N463" s="130"/>
      <c r="R463" s="132"/>
      <c r="T463" s="133"/>
      <c r="AA463" s="134"/>
      <c r="AT463" s="130" t="s">
        <v>168</v>
      </c>
      <c r="AU463" s="130" t="s">
        <v>102</v>
      </c>
      <c r="AV463" s="130" t="s">
        <v>102</v>
      </c>
      <c r="AW463" s="130" t="s">
        <v>112</v>
      </c>
      <c r="AX463" s="130" t="s">
        <v>72</v>
      </c>
      <c r="AY463" s="130" t="s">
        <v>161</v>
      </c>
    </row>
    <row r="464" spans="2:51" s="6" customFormat="1" ht="15.75" customHeight="1">
      <c r="B464" s="129"/>
      <c r="E464" s="130"/>
      <c r="F464" s="213" t="s">
        <v>511</v>
      </c>
      <c r="G464" s="214"/>
      <c r="H464" s="214"/>
      <c r="I464" s="214"/>
      <c r="K464" s="131">
        <v>0.5</v>
      </c>
      <c r="N464" s="130"/>
      <c r="R464" s="132"/>
      <c r="T464" s="133"/>
      <c r="AA464" s="134"/>
      <c r="AT464" s="130" t="s">
        <v>168</v>
      </c>
      <c r="AU464" s="130" t="s">
        <v>102</v>
      </c>
      <c r="AV464" s="130" t="s">
        <v>102</v>
      </c>
      <c r="AW464" s="130" t="s">
        <v>112</v>
      </c>
      <c r="AX464" s="130" t="s">
        <v>72</v>
      </c>
      <c r="AY464" s="130" t="s">
        <v>161</v>
      </c>
    </row>
    <row r="465" spans="2:51" s="6" customFormat="1" ht="15.75" customHeight="1">
      <c r="B465" s="135"/>
      <c r="E465" s="136"/>
      <c r="F465" s="215" t="s">
        <v>171</v>
      </c>
      <c r="G465" s="216"/>
      <c r="H465" s="216"/>
      <c r="I465" s="216"/>
      <c r="K465" s="137">
        <v>31.062</v>
      </c>
      <c r="N465" s="136"/>
      <c r="R465" s="138"/>
      <c r="T465" s="139"/>
      <c r="AA465" s="140"/>
      <c r="AT465" s="136" t="s">
        <v>168</v>
      </c>
      <c r="AU465" s="136" t="s">
        <v>102</v>
      </c>
      <c r="AV465" s="136" t="s">
        <v>166</v>
      </c>
      <c r="AW465" s="136" t="s">
        <v>112</v>
      </c>
      <c r="AX465" s="136" t="s">
        <v>16</v>
      </c>
      <c r="AY465" s="136" t="s">
        <v>161</v>
      </c>
    </row>
    <row r="466" spans="2:63" s="6" customFormat="1" ht="27" customHeight="1">
      <c r="B466" s="20"/>
      <c r="C466" s="141" t="s">
        <v>512</v>
      </c>
      <c r="D466" s="141" t="s">
        <v>227</v>
      </c>
      <c r="E466" s="142" t="s">
        <v>513</v>
      </c>
      <c r="F466" s="217" t="s">
        <v>514</v>
      </c>
      <c r="G466" s="218"/>
      <c r="H466" s="218"/>
      <c r="I466" s="218"/>
      <c r="J466" s="143" t="s">
        <v>174</v>
      </c>
      <c r="K466" s="144">
        <v>63.366</v>
      </c>
      <c r="L466" s="219">
        <v>0</v>
      </c>
      <c r="M466" s="218"/>
      <c r="N466" s="220">
        <f>ROUND($L$466*$K$466,2)</f>
        <v>0</v>
      </c>
      <c r="O466" s="205"/>
      <c r="P466" s="205"/>
      <c r="Q466" s="205"/>
      <c r="R466" s="21"/>
      <c r="T466" s="121"/>
      <c r="U466" s="27" t="s">
        <v>37</v>
      </c>
      <c r="V466" s="122">
        <v>0</v>
      </c>
      <c r="W466" s="122">
        <f>$V$466*$K$466</f>
        <v>0</v>
      </c>
      <c r="X466" s="122">
        <v>0.0042</v>
      </c>
      <c r="Y466" s="122">
        <f>$X$466*$K$466</f>
        <v>0.26613719999999996</v>
      </c>
      <c r="Z466" s="122">
        <v>0</v>
      </c>
      <c r="AA466" s="123">
        <f>$Z$466*$K$466</f>
        <v>0</v>
      </c>
      <c r="AR466" s="6" t="s">
        <v>291</v>
      </c>
      <c r="AT466" s="6" t="s">
        <v>227</v>
      </c>
      <c r="AU466" s="6" t="s">
        <v>102</v>
      </c>
      <c r="AY466" s="6" t="s">
        <v>161</v>
      </c>
      <c r="BE466" s="76">
        <f>IF($U$466="základní",$N$466,0)</f>
        <v>0</v>
      </c>
      <c r="BF466" s="76">
        <f>IF($U$466="snížená",$N$466,0)</f>
        <v>0</v>
      </c>
      <c r="BG466" s="76">
        <f>IF($U$466="zákl. přenesená",$N$466,0)</f>
        <v>0</v>
      </c>
      <c r="BH466" s="76">
        <f>IF($U$466="sníž. přenesená",$N$466,0)</f>
        <v>0</v>
      </c>
      <c r="BI466" s="76">
        <f>IF($U$466="nulová",$N$466,0)</f>
        <v>0</v>
      </c>
      <c r="BJ466" s="6" t="s">
        <v>16</v>
      </c>
      <c r="BK466" s="76">
        <f>ROUND($L$466*$K$466,2)</f>
        <v>0</v>
      </c>
    </row>
    <row r="467" spans="2:63" s="6" customFormat="1" ht="27" customHeight="1">
      <c r="B467" s="20"/>
      <c r="C467" s="117" t="s">
        <v>515</v>
      </c>
      <c r="D467" s="117" t="s">
        <v>162</v>
      </c>
      <c r="E467" s="118" t="s">
        <v>516</v>
      </c>
      <c r="F467" s="204" t="s">
        <v>517</v>
      </c>
      <c r="G467" s="205"/>
      <c r="H467" s="205"/>
      <c r="I467" s="205"/>
      <c r="J467" s="119" t="s">
        <v>174</v>
      </c>
      <c r="K467" s="120">
        <v>20.46</v>
      </c>
      <c r="L467" s="206">
        <v>0</v>
      </c>
      <c r="M467" s="205"/>
      <c r="N467" s="207">
        <f>ROUND($L$467*$K$467,2)</f>
        <v>0</v>
      </c>
      <c r="O467" s="205"/>
      <c r="P467" s="205"/>
      <c r="Q467" s="205"/>
      <c r="R467" s="21"/>
      <c r="T467" s="121"/>
      <c r="U467" s="27" t="s">
        <v>37</v>
      </c>
      <c r="V467" s="122">
        <v>0.171</v>
      </c>
      <c r="W467" s="122">
        <f>$V$467*$K$467</f>
        <v>3.4986600000000005</v>
      </c>
      <c r="X467" s="122">
        <v>0.0003</v>
      </c>
      <c r="Y467" s="122">
        <f>$X$467*$K$467</f>
        <v>0.006137999999999999</v>
      </c>
      <c r="Z467" s="122">
        <v>0</v>
      </c>
      <c r="AA467" s="123">
        <f>$Z$467*$K$467</f>
        <v>0</v>
      </c>
      <c r="AR467" s="6" t="s">
        <v>221</v>
      </c>
      <c r="AT467" s="6" t="s">
        <v>162</v>
      </c>
      <c r="AU467" s="6" t="s">
        <v>102</v>
      </c>
      <c r="AY467" s="6" t="s">
        <v>161</v>
      </c>
      <c r="BE467" s="76">
        <f>IF($U$467="základní",$N$467,0)</f>
        <v>0</v>
      </c>
      <c r="BF467" s="76">
        <f>IF($U$467="snížená",$N$467,0)</f>
        <v>0</v>
      </c>
      <c r="BG467" s="76">
        <f>IF($U$467="zákl. přenesená",$N$467,0)</f>
        <v>0</v>
      </c>
      <c r="BH467" s="76">
        <f>IF($U$467="sníž. přenesená",$N$467,0)</f>
        <v>0</v>
      </c>
      <c r="BI467" s="76">
        <f>IF($U$467="nulová",$N$467,0)</f>
        <v>0</v>
      </c>
      <c r="BJ467" s="6" t="s">
        <v>16</v>
      </c>
      <c r="BK467" s="76">
        <f>ROUND($L$467*$K$467,2)</f>
        <v>0</v>
      </c>
    </row>
    <row r="468" spans="2:51" s="6" customFormat="1" ht="15.75" customHeight="1">
      <c r="B468" s="124"/>
      <c r="E468" s="125"/>
      <c r="F468" s="211" t="s">
        <v>167</v>
      </c>
      <c r="G468" s="212"/>
      <c r="H468" s="212"/>
      <c r="I468" s="212"/>
      <c r="K468" s="125"/>
      <c r="N468" s="125"/>
      <c r="R468" s="126"/>
      <c r="T468" s="127"/>
      <c r="AA468" s="128"/>
      <c r="AT468" s="125" t="s">
        <v>168</v>
      </c>
      <c r="AU468" s="125" t="s">
        <v>102</v>
      </c>
      <c r="AV468" s="125" t="s">
        <v>16</v>
      </c>
      <c r="AW468" s="125" t="s">
        <v>112</v>
      </c>
      <c r="AX468" s="125" t="s">
        <v>72</v>
      </c>
      <c r="AY468" s="125" t="s">
        <v>161</v>
      </c>
    </row>
    <row r="469" spans="2:51" s="6" customFormat="1" ht="15.75" customHeight="1">
      <c r="B469" s="129"/>
      <c r="E469" s="130"/>
      <c r="F469" s="213" t="s">
        <v>518</v>
      </c>
      <c r="G469" s="214"/>
      <c r="H469" s="214"/>
      <c r="I469" s="214"/>
      <c r="K469" s="131">
        <v>20.46</v>
      </c>
      <c r="N469" s="130"/>
      <c r="R469" s="132"/>
      <c r="T469" s="133"/>
      <c r="AA469" s="134"/>
      <c r="AT469" s="130" t="s">
        <v>168</v>
      </c>
      <c r="AU469" s="130" t="s">
        <v>102</v>
      </c>
      <c r="AV469" s="130" t="s">
        <v>102</v>
      </c>
      <c r="AW469" s="130" t="s">
        <v>112</v>
      </c>
      <c r="AX469" s="130" t="s">
        <v>72</v>
      </c>
      <c r="AY469" s="130" t="s">
        <v>161</v>
      </c>
    </row>
    <row r="470" spans="2:51" s="6" customFormat="1" ht="15.75" customHeight="1">
      <c r="B470" s="135"/>
      <c r="E470" s="136"/>
      <c r="F470" s="215" t="s">
        <v>171</v>
      </c>
      <c r="G470" s="216"/>
      <c r="H470" s="216"/>
      <c r="I470" s="216"/>
      <c r="K470" s="137">
        <v>20.46</v>
      </c>
      <c r="N470" s="136"/>
      <c r="R470" s="138"/>
      <c r="T470" s="139"/>
      <c r="AA470" s="140"/>
      <c r="AT470" s="136" t="s">
        <v>168</v>
      </c>
      <c r="AU470" s="136" t="s">
        <v>102</v>
      </c>
      <c r="AV470" s="136" t="s">
        <v>166</v>
      </c>
      <c r="AW470" s="136" t="s">
        <v>112</v>
      </c>
      <c r="AX470" s="136" t="s">
        <v>16</v>
      </c>
      <c r="AY470" s="136" t="s">
        <v>161</v>
      </c>
    </row>
    <row r="471" spans="2:63" s="6" customFormat="1" ht="27" customHeight="1">
      <c r="B471" s="20"/>
      <c r="C471" s="141" t="s">
        <v>519</v>
      </c>
      <c r="D471" s="141" t="s">
        <v>227</v>
      </c>
      <c r="E471" s="142" t="s">
        <v>520</v>
      </c>
      <c r="F471" s="217" t="s">
        <v>521</v>
      </c>
      <c r="G471" s="218"/>
      <c r="H471" s="218"/>
      <c r="I471" s="218"/>
      <c r="J471" s="143" t="s">
        <v>174</v>
      </c>
      <c r="K471" s="144">
        <v>21.278</v>
      </c>
      <c r="L471" s="219">
        <v>0</v>
      </c>
      <c r="M471" s="218"/>
      <c r="N471" s="220">
        <f>ROUND($L$471*$K$471,2)</f>
        <v>0</v>
      </c>
      <c r="O471" s="205"/>
      <c r="P471" s="205"/>
      <c r="Q471" s="205"/>
      <c r="R471" s="21"/>
      <c r="T471" s="121"/>
      <c r="U471" s="27" t="s">
        <v>37</v>
      </c>
      <c r="V471" s="122">
        <v>0</v>
      </c>
      <c r="W471" s="122">
        <f>$V$471*$K$471</f>
        <v>0</v>
      </c>
      <c r="X471" s="122">
        <v>0.0045</v>
      </c>
      <c r="Y471" s="122">
        <f>$X$471*$K$471</f>
        <v>0.09575099999999999</v>
      </c>
      <c r="Z471" s="122">
        <v>0</v>
      </c>
      <c r="AA471" s="123">
        <f>$Z$471*$K$471</f>
        <v>0</v>
      </c>
      <c r="AR471" s="6" t="s">
        <v>291</v>
      </c>
      <c r="AT471" s="6" t="s">
        <v>227</v>
      </c>
      <c r="AU471" s="6" t="s">
        <v>102</v>
      </c>
      <c r="AY471" s="6" t="s">
        <v>161</v>
      </c>
      <c r="BE471" s="76">
        <f>IF($U$471="základní",$N$471,0)</f>
        <v>0</v>
      </c>
      <c r="BF471" s="76">
        <f>IF($U$471="snížená",$N$471,0)</f>
        <v>0</v>
      </c>
      <c r="BG471" s="76">
        <f>IF($U$471="zákl. přenesená",$N$471,0)</f>
        <v>0</v>
      </c>
      <c r="BH471" s="76">
        <f>IF($U$471="sníž. přenesená",$N$471,0)</f>
        <v>0</v>
      </c>
      <c r="BI471" s="76">
        <f>IF($U$471="nulová",$N$471,0)</f>
        <v>0</v>
      </c>
      <c r="BJ471" s="6" t="s">
        <v>16</v>
      </c>
      <c r="BK471" s="76">
        <f>ROUND($L$471*$K$471,2)</f>
        <v>0</v>
      </c>
    </row>
    <row r="472" spans="2:51" s="6" customFormat="1" ht="15.75" customHeight="1">
      <c r="B472" s="129"/>
      <c r="E472" s="130"/>
      <c r="F472" s="213" t="s">
        <v>522</v>
      </c>
      <c r="G472" s="214"/>
      <c r="H472" s="214"/>
      <c r="I472" s="214"/>
      <c r="K472" s="131">
        <v>21.278</v>
      </c>
      <c r="N472" s="130"/>
      <c r="R472" s="132"/>
      <c r="T472" s="133"/>
      <c r="AA472" s="134"/>
      <c r="AT472" s="130" t="s">
        <v>168</v>
      </c>
      <c r="AU472" s="130" t="s">
        <v>102</v>
      </c>
      <c r="AV472" s="130" t="s">
        <v>102</v>
      </c>
      <c r="AW472" s="130" t="s">
        <v>112</v>
      </c>
      <c r="AX472" s="130" t="s">
        <v>16</v>
      </c>
      <c r="AY472" s="130" t="s">
        <v>161</v>
      </c>
    </row>
    <row r="473" spans="2:63" s="6" customFormat="1" ht="27" customHeight="1">
      <c r="B473" s="20"/>
      <c r="C473" s="117" t="s">
        <v>523</v>
      </c>
      <c r="D473" s="117" t="s">
        <v>162</v>
      </c>
      <c r="E473" s="118" t="s">
        <v>524</v>
      </c>
      <c r="F473" s="204" t="s">
        <v>525</v>
      </c>
      <c r="G473" s="205"/>
      <c r="H473" s="205"/>
      <c r="I473" s="205"/>
      <c r="J473" s="119" t="s">
        <v>174</v>
      </c>
      <c r="K473" s="120">
        <v>41.292</v>
      </c>
      <c r="L473" s="206">
        <v>0</v>
      </c>
      <c r="M473" s="205"/>
      <c r="N473" s="207">
        <f>ROUND($L$473*$K$473,2)</f>
        <v>0</v>
      </c>
      <c r="O473" s="205"/>
      <c r="P473" s="205"/>
      <c r="Q473" s="205"/>
      <c r="R473" s="21"/>
      <c r="T473" s="121"/>
      <c r="U473" s="27" t="s">
        <v>37</v>
      </c>
      <c r="V473" s="122">
        <v>0.06</v>
      </c>
      <c r="W473" s="122">
        <f>$V$473*$K$473</f>
        <v>2.47752</v>
      </c>
      <c r="X473" s="122">
        <v>0.00041</v>
      </c>
      <c r="Y473" s="122">
        <f>$X$473*$K$473</f>
        <v>0.01692972</v>
      </c>
      <c r="Z473" s="122">
        <v>0</v>
      </c>
      <c r="AA473" s="123">
        <f>$Z$473*$K$473</f>
        <v>0</v>
      </c>
      <c r="AR473" s="6" t="s">
        <v>221</v>
      </c>
      <c r="AT473" s="6" t="s">
        <v>162</v>
      </c>
      <c r="AU473" s="6" t="s">
        <v>102</v>
      </c>
      <c r="AY473" s="6" t="s">
        <v>161</v>
      </c>
      <c r="BE473" s="76">
        <f>IF($U$473="základní",$N$473,0)</f>
        <v>0</v>
      </c>
      <c r="BF473" s="76">
        <f>IF($U$473="snížená",$N$473,0)</f>
        <v>0</v>
      </c>
      <c r="BG473" s="76">
        <f>IF($U$473="zákl. přenesená",$N$473,0)</f>
        <v>0</v>
      </c>
      <c r="BH473" s="76">
        <f>IF($U$473="sníž. přenesená",$N$473,0)</f>
        <v>0</v>
      </c>
      <c r="BI473" s="76">
        <f>IF($U$473="nulová",$N$473,0)</f>
        <v>0</v>
      </c>
      <c r="BJ473" s="6" t="s">
        <v>16</v>
      </c>
      <c r="BK473" s="76">
        <f>ROUND($L$473*$K$473,2)</f>
        <v>0</v>
      </c>
    </row>
    <row r="474" spans="2:51" s="6" customFormat="1" ht="15.75" customHeight="1">
      <c r="B474" s="124"/>
      <c r="E474" s="125"/>
      <c r="F474" s="211" t="s">
        <v>436</v>
      </c>
      <c r="G474" s="212"/>
      <c r="H474" s="212"/>
      <c r="I474" s="212"/>
      <c r="K474" s="125"/>
      <c r="N474" s="125"/>
      <c r="R474" s="126"/>
      <c r="T474" s="127"/>
      <c r="AA474" s="128"/>
      <c r="AT474" s="125" t="s">
        <v>168</v>
      </c>
      <c r="AU474" s="125" t="s">
        <v>102</v>
      </c>
      <c r="AV474" s="125" t="s">
        <v>16</v>
      </c>
      <c r="AW474" s="125" t="s">
        <v>112</v>
      </c>
      <c r="AX474" s="125" t="s">
        <v>72</v>
      </c>
      <c r="AY474" s="125" t="s">
        <v>161</v>
      </c>
    </row>
    <row r="475" spans="2:51" s="6" customFormat="1" ht="15.75" customHeight="1">
      <c r="B475" s="124"/>
      <c r="E475" s="125"/>
      <c r="F475" s="211" t="s">
        <v>437</v>
      </c>
      <c r="G475" s="212"/>
      <c r="H475" s="212"/>
      <c r="I475" s="212"/>
      <c r="K475" s="125"/>
      <c r="N475" s="125"/>
      <c r="R475" s="126"/>
      <c r="T475" s="127"/>
      <c r="AA475" s="128"/>
      <c r="AT475" s="125" t="s">
        <v>168</v>
      </c>
      <c r="AU475" s="125" t="s">
        <v>102</v>
      </c>
      <c r="AV475" s="125" t="s">
        <v>16</v>
      </c>
      <c r="AW475" s="125" t="s">
        <v>112</v>
      </c>
      <c r="AX475" s="125" t="s">
        <v>72</v>
      </c>
      <c r="AY475" s="125" t="s">
        <v>161</v>
      </c>
    </row>
    <row r="476" spans="2:51" s="6" customFormat="1" ht="15.75" customHeight="1">
      <c r="B476" s="129"/>
      <c r="E476" s="130"/>
      <c r="F476" s="213" t="s">
        <v>506</v>
      </c>
      <c r="G476" s="214"/>
      <c r="H476" s="214"/>
      <c r="I476" s="214"/>
      <c r="K476" s="131">
        <v>15.458</v>
      </c>
      <c r="N476" s="130"/>
      <c r="R476" s="132"/>
      <c r="T476" s="133"/>
      <c r="AA476" s="134"/>
      <c r="AT476" s="130" t="s">
        <v>168</v>
      </c>
      <c r="AU476" s="130" t="s">
        <v>102</v>
      </c>
      <c r="AV476" s="130" t="s">
        <v>102</v>
      </c>
      <c r="AW476" s="130" t="s">
        <v>112</v>
      </c>
      <c r="AX476" s="130" t="s">
        <v>72</v>
      </c>
      <c r="AY476" s="130" t="s">
        <v>161</v>
      </c>
    </row>
    <row r="477" spans="2:51" s="6" customFormat="1" ht="15.75" customHeight="1">
      <c r="B477" s="129"/>
      <c r="E477" s="130"/>
      <c r="F477" s="213" t="s">
        <v>507</v>
      </c>
      <c r="G477" s="214"/>
      <c r="H477" s="214"/>
      <c r="I477" s="214"/>
      <c r="K477" s="131">
        <v>1.944</v>
      </c>
      <c r="N477" s="130"/>
      <c r="R477" s="132"/>
      <c r="T477" s="133"/>
      <c r="AA477" s="134"/>
      <c r="AT477" s="130" t="s">
        <v>168</v>
      </c>
      <c r="AU477" s="130" t="s">
        <v>102</v>
      </c>
      <c r="AV477" s="130" t="s">
        <v>102</v>
      </c>
      <c r="AW477" s="130" t="s">
        <v>112</v>
      </c>
      <c r="AX477" s="130" t="s">
        <v>72</v>
      </c>
      <c r="AY477" s="130" t="s">
        <v>161</v>
      </c>
    </row>
    <row r="478" spans="2:51" s="6" customFormat="1" ht="15.75" customHeight="1">
      <c r="B478" s="129"/>
      <c r="E478" s="130"/>
      <c r="F478" s="213" t="s">
        <v>508</v>
      </c>
      <c r="G478" s="214"/>
      <c r="H478" s="214"/>
      <c r="I478" s="214"/>
      <c r="K478" s="131">
        <v>4.14</v>
      </c>
      <c r="N478" s="130"/>
      <c r="R478" s="132"/>
      <c r="T478" s="133"/>
      <c r="AA478" s="134"/>
      <c r="AT478" s="130" t="s">
        <v>168</v>
      </c>
      <c r="AU478" s="130" t="s">
        <v>102</v>
      </c>
      <c r="AV478" s="130" t="s">
        <v>102</v>
      </c>
      <c r="AW478" s="130" t="s">
        <v>112</v>
      </c>
      <c r="AX478" s="130" t="s">
        <v>72</v>
      </c>
      <c r="AY478" s="130" t="s">
        <v>161</v>
      </c>
    </row>
    <row r="479" spans="2:51" s="6" customFormat="1" ht="15.75" customHeight="1">
      <c r="B479" s="129"/>
      <c r="E479" s="130"/>
      <c r="F479" s="213" t="s">
        <v>509</v>
      </c>
      <c r="G479" s="214"/>
      <c r="H479" s="214"/>
      <c r="I479" s="214"/>
      <c r="K479" s="131">
        <v>3.9</v>
      </c>
      <c r="N479" s="130"/>
      <c r="R479" s="132"/>
      <c r="T479" s="133"/>
      <c r="AA479" s="134"/>
      <c r="AT479" s="130" t="s">
        <v>168</v>
      </c>
      <c r="AU479" s="130" t="s">
        <v>102</v>
      </c>
      <c r="AV479" s="130" t="s">
        <v>102</v>
      </c>
      <c r="AW479" s="130" t="s">
        <v>112</v>
      </c>
      <c r="AX479" s="130" t="s">
        <v>72</v>
      </c>
      <c r="AY479" s="130" t="s">
        <v>161</v>
      </c>
    </row>
    <row r="480" spans="2:51" s="6" customFormat="1" ht="15.75" customHeight="1">
      <c r="B480" s="129"/>
      <c r="E480" s="130"/>
      <c r="F480" s="213" t="s">
        <v>510</v>
      </c>
      <c r="G480" s="214"/>
      <c r="H480" s="214"/>
      <c r="I480" s="214"/>
      <c r="K480" s="131">
        <v>5.12</v>
      </c>
      <c r="N480" s="130"/>
      <c r="R480" s="132"/>
      <c r="T480" s="133"/>
      <c r="AA480" s="134"/>
      <c r="AT480" s="130" t="s">
        <v>168</v>
      </c>
      <c r="AU480" s="130" t="s">
        <v>102</v>
      </c>
      <c r="AV480" s="130" t="s">
        <v>102</v>
      </c>
      <c r="AW480" s="130" t="s">
        <v>112</v>
      </c>
      <c r="AX480" s="130" t="s">
        <v>72</v>
      </c>
      <c r="AY480" s="130" t="s">
        <v>161</v>
      </c>
    </row>
    <row r="481" spans="2:51" s="6" customFormat="1" ht="15.75" customHeight="1">
      <c r="B481" s="129"/>
      <c r="E481" s="130"/>
      <c r="F481" s="213" t="s">
        <v>511</v>
      </c>
      <c r="G481" s="214"/>
      <c r="H481" s="214"/>
      <c r="I481" s="214"/>
      <c r="K481" s="131">
        <v>0.5</v>
      </c>
      <c r="N481" s="130"/>
      <c r="R481" s="132"/>
      <c r="T481" s="133"/>
      <c r="AA481" s="134"/>
      <c r="AT481" s="130" t="s">
        <v>168</v>
      </c>
      <c r="AU481" s="130" t="s">
        <v>102</v>
      </c>
      <c r="AV481" s="130" t="s">
        <v>102</v>
      </c>
      <c r="AW481" s="130" t="s">
        <v>112</v>
      </c>
      <c r="AX481" s="130" t="s">
        <v>72</v>
      </c>
      <c r="AY481" s="130" t="s">
        <v>161</v>
      </c>
    </row>
    <row r="482" spans="2:51" s="6" customFormat="1" ht="15.75" customHeight="1">
      <c r="B482" s="124"/>
      <c r="E482" s="125"/>
      <c r="F482" s="211" t="s">
        <v>167</v>
      </c>
      <c r="G482" s="212"/>
      <c r="H482" s="212"/>
      <c r="I482" s="212"/>
      <c r="K482" s="125"/>
      <c r="N482" s="125"/>
      <c r="R482" s="126"/>
      <c r="T482" s="127"/>
      <c r="AA482" s="128"/>
      <c r="AT482" s="125" t="s">
        <v>168</v>
      </c>
      <c r="AU482" s="125" t="s">
        <v>102</v>
      </c>
      <c r="AV482" s="125" t="s">
        <v>16</v>
      </c>
      <c r="AW482" s="125" t="s">
        <v>112</v>
      </c>
      <c r="AX482" s="125" t="s">
        <v>72</v>
      </c>
      <c r="AY482" s="125" t="s">
        <v>161</v>
      </c>
    </row>
    <row r="483" spans="2:51" s="6" customFormat="1" ht="15.75" customHeight="1">
      <c r="B483" s="129"/>
      <c r="E483" s="130"/>
      <c r="F483" s="213" t="s">
        <v>526</v>
      </c>
      <c r="G483" s="214"/>
      <c r="H483" s="214"/>
      <c r="I483" s="214"/>
      <c r="K483" s="131">
        <v>10.23</v>
      </c>
      <c r="N483" s="130"/>
      <c r="R483" s="132"/>
      <c r="T483" s="133"/>
      <c r="AA483" s="134"/>
      <c r="AT483" s="130" t="s">
        <v>168</v>
      </c>
      <c r="AU483" s="130" t="s">
        <v>102</v>
      </c>
      <c r="AV483" s="130" t="s">
        <v>102</v>
      </c>
      <c r="AW483" s="130" t="s">
        <v>112</v>
      </c>
      <c r="AX483" s="130" t="s">
        <v>72</v>
      </c>
      <c r="AY483" s="130" t="s">
        <v>161</v>
      </c>
    </row>
    <row r="484" spans="2:51" s="6" customFormat="1" ht="15.75" customHeight="1">
      <c r="B484" s="135"/>
      <c r="E484" s="136"/>
      <c r="F484" s="215" t="s">
        <v>171</v>
      </c>
      <c r="G484" s="216"/>
      <c r="H484" s="216"/>
      <c r="I484" s="216"/>
      <c r="K484" s="137">
        <v>41.292</v>
      </c>
      <c r="N484" s="136"/>
      <c r="R484" s="138"/>
      <c r="T484" s="139"/>
      <c r="AA484" s="140"/>
      <c r="AT484" s="136" t="s">
        <v>168</v>
      </c>
      <c r="AU484" s="136" t="s">
        <v>102</v>
      </c>
      <c r="AV484" s="136" t="s">
        <v>166</v>
      </c>
      <c r="AW484" s="136" t="s">
        <v>112</v>
      </c>
      <c r="AX484" s="136" t="s">
        <v>16</v>
      </c>
      <c r="AY484" s="136" t="s">
        <v>161</v>
      </c>
    </row>
    <row r="485" spans="2:63" s="6" customFormat="1" ht="27" customHeight="1">
      <c r="B485" s="20"/>
      <c r="C485" s="117" t="s">
        <v>527</v>
      </c>
      <c r="D485" s="117" t="s">
        <v>162</v>
      </c>
      <c r="E485" s="118" t="s">
        <v>528</v>
      </c>
      <c r="F485" s="204" t="s">
        <v>529</v>
      </c>
      <c r="G485" s="205"/>
      <c r="H485" s="205"/>
      <c r="I485" s="205"/>
      <c r="J485" s="119" t="s">
        <v>530</v>
      </c>
      <c r="K485" s="145">
        <v>0</v>
      </c>
      <c r="L485" s="206">
        <v>0</v>
      </c>
      <c r="M485" s="205"/>
      <c r="N485" s="207">
        <f>ROUND($L$485*$K$485,2)</f>
        <v>0</v>
      </c>
      <c r="O485" s="205"/>
      <c r="P485" s="205"/>
      <c r="Q485" s="205"/>
      <c r="R485" s="21"/>
      <c r="T485" s="121"/>
      <c r="U485" s="27" t="s">
        <v>37</v>
      </c>
      <c r="V485" s="122">
        <v>0</v>
      </c>
      <c r="W485" s="122">
        <f>$V$485*$K$485</f>
        <v>0</v>
      </c>
      <c r="X485" s="122">
        <v>0</v>
      </c>
      <c r="Y485" s="122">
        <f>$X$485*$K$485</f>
        <v>0</v>
      </c>
      <c r="Z485" s="122">
        <v>0</v>
      </c>
      <c r="AA485" s="123">
        <f>$Z$485*$K$485</f>
        <v>0</v>
      </c>
      <c r="AR485" s="6" t="s">
        <v>221</v>
      </c>
      <c r="AT485" s="6" t="s">
        <v>162</v>
      </c>
      <c r="AU485" s="6" t="s">
        <v>102</v>
      </c>
      <c r="AY485" s="6" t="s">
        <v>161</v>
      </c>
      <c r="BE485" s="76">
        <f>IF($U$485="základní",$N$485,0)</f>
        <v>0</v>
      </c>
      <c r="BF485" s="76">
        <f>IF($U$485="snížená",$N$485,0)</f>
        <v>0</v>
      </c>
      <c r="BG485" s="76">
        <f>IF($U$485="zákl. přenesená",$N$485,0)</f>
        <v>0</v>
      </c>
      <c r="BH485" s="76">
        <f>IF($U$485="sníž. přenesená",$N$485,0)</f>
        <v>0</v>
      </c>
      <c r="BI485" s="76">
        <f>IF($U$485="nulová",$N$485,0)</f>
        <v>0</v>
      </c>
      <c r="BJ485" s="6" t="s">
        <v>16</v>
      </c>
      <c r="BK485" s="76">
        <f>ROUND($L$485*$K$485,2)</f>
        <v>0</v>
      </c>
    </row>
    <row r="486" spans="2:63" s="107" customFormat="1" ht="30.75" customHeight="1">
      <c r="B486" s="108"/>
      <c r="D486" s="116" t="s">
        <v>123</v>
      </c>
      <c r="N486" s="222">
        <f>$BK$486</f>
        <v>0</v>
      </c>
      <c r="O486" s="210"/>
      <c r="P486" s="210"/>
      <c r="Q486" s="210"/>
      <c r="R486" s="111"/>
      <c r="T486" s="112"/>
      <c r="W486" s="113">
        <f>SUM($W$487:$W$489)</f>
        <v>0.903</v>
      </c>
      <c r="Y486" s="113">
        <f>SUM($Y$487:$Y$489)</f>
        <v>0.00281</v>
      </c>
      <c r="AA486" s="114">
        <f>SUM($AA$487:$AA$489)</f>
        <v>0</v>
      </c>
      <c r="AR486" s="110" t="s">
        <v>102</v>
      </c>
      <c r="AT486" s="110" t="s">
        <v>71</v>
      </c>
      <c r="AU486" s="110" t="s">
        <v>16</v>
      </c>
      <c r="AY486" s="110" t="s">
        <v>161</v>
      </c>
      <c r="BK486" s="115">
        <f>SUM($BK$487:$BK$489)</f>
        <v>0</v>
      </c>
    </row>
    <row r="487" spans="2:63" s="6" customFormat="1" ht="27" customHeight="1">
      <c r="B487" s="20"/>
      <c r="C487" s="117" t="s">
        <v>531</v>
      </c>
      <c r="D487" s="117" t="s">
        <v>162</v>
      </c>
      <c r="E487" s="118" t="s">
        <v>532</v>
      </c>
      <c r="F487" s="204" t="s">
        <v>533</v>
      </c>
      <c r="G487" s="205"/>
      <c r="H487" s="205"/>
      <c r="I487" s="205"/>
      <c r="J487" s="119" t="s">
        <v>245</v>
      </c>
      <c r="K487" s="120">
        <v>2</v>
      </c>
      <c r="L487" s="206">
        <v>0</v>
      </c>
      <c r="M487" s="205"/>
      <c r="N487" s="207">
        <f>ROUND($L$487*$K$487,2)</f>
        <v>0</v>
      </c>
      <c r="O487" s="205"/>
      <c r="P487" s="205"/>
      <c r="Q487" s="205"/>
      <c r="R487" s="21"/>
      <c r="T487" s="121"/>
      <c r="U487" s="27" t="s">
        <v>37</v>
      </c>
      <c r="V487" s="122">
        <v>0.363</v>
      </c>
      <c r="W487" s="122">
        <f>$V$487*$K$487</f>
        <v>0.726</v>
      </c>
      <c r="X487" s="122">
        <v>0.00126</v>
      </c>
      <c r="Y487" s="122">
        <f>$X$487*$K$487</f>
        <v>0.00252</v>
      </c>
      <c r="Z487" s="122">
        <v>0</v>
      </c>
      <c r="AA487" s="123">
        <f>$Z$487*$K$487</f>
        <v>0</v>
      </c>
      <c r="AR487" s="6" t="s">
        <v>221</v>
      </c>
      <c r="AT487" s="6" t="s">
        <v>162</v>
      </c>
      <c r="AU487" s="6" t="s">
        <v>102</v>
      </c>
      <c r="AY487" s="6" t="s">
        <v>161</v>
      </c>
      <c r="BE487" s="76">
        <f>IF($U$487="základní",$N$487,0)</f>
        <v>0</v>
      </c>
      <c r="BF487" s="76">
        <f>IF($U$487="snížená",$N$487,0)</f>
        <v>0</v>
      </c>
      <c r="BG487" s="76">
        <f>IF($U$487="zákl. přenesená",$N$487,0)</f>
        <v>0</v>
      </c>
      <c r="BH487" s="76">
        <f>IF($U$487="sníž. přenesená",$N$487,0)</f>
        <v>0</v>
      </c>
      <c r="BI487" s="76">
        <f>IF($U$487="nulová",$N$487,0)</f>
        <v>0</v>
      </c>
      <c r="BJ487" s="6" t="s">
        <v>16</v>
      </c>
      <c r="BK487" s="76">
        <f>ROUND($L$487*$K$487,2)</f>
        <v>0</v>
      </c>
    </row>
    <row r="488" spans="2:63" s="6" customFormat="1" ht="15.75" customHeight="1">
      <c r="B488" s="20"/>
      <c r="C488" s="117" t="s">
        <v>534</v>
      </c>
      <c r="D488" s="117" t="s">
        <v>162</v>
      </c>
      <c r="E488" s="118" t="s">
        <v>535</v>
      </c>
      <c r="F488" s="204" t="s">
        <v>536</v>
      </c>
      <c r="G488" s="205"/>
      <c r="H488" s="205"/>
      <c r="I488" s="205"/>
      <c r="J488" s="119" t="s">
        <v>249</v>
      </c>
      <c r="K488" s="120">
        <v>1</v>
      </c>
      <c r="L488" s="206">
        <v>0</v>
      </c>
      <c r="M488" s="205"/>
      <c r="N488" s="207">
        <f>ROUND($L$488*$K$488,2)</f>
        <v>0</v>
      </c>
      <c r="O488" s="205"/>
      <c r="P488" s="205"/>
      <c r="Q488" s="205"/>
      <c r="R488" s="21"/>
      <c r="T488" s="121"/>
      <c r="U488" s="27" t="s">
        <v>37</v>
      </c>
      <c r="V488" s="122">
        <v>0.177</v>
      </c>
      <c r="W488" s="122">
        <f>$V$488*$K$488</f>
        <v>0.177</v>
      </c>
      <c r="X488" s="122">
        <v>0.00029</v>
      </c>
      <c r="Y488" s="122">
        <f>$X$488*$K$488</f>
        <v>0.00029</v>
      </c>
      <c r="Z488" s="122">
        <v>0</v>
      </c>
      <c r="AA488" s="123">
        <f>$Z$488*$K$488</f>
        <v>0</v>
      </c>
      <c r="AR488" s="6" t="s">
        <v>221</v>
      </c>
      <c r="AT488" s="6" t="s">
        <v>162</v>
      </c>
      <c r="AU488" s="6" t="s">
        <v>102</v>
      </c>
      <c r="AY488" s="6" t="s">
        <v>161</v>
      </c>
      <c r="BE488" s="76">
        <f>IF($U$488="základní",$N$488,0)</f>
        <v>0</v>
      </c>
      <c r="BF488" s="76">
        <f>IF($U$488="snížená",$N$488,0)</f>
        <v>0</v>
      </c>
      <c r="BG488" s="76">
        <f>IF($U$488="zákl. přenesená",$N$488,0)</f>
        <v>0</v>
      </c>
      <c r="BH488" s="76">
        <f>IF($U$488="sníž. přenesená",$N$488,0)</f>
        <v>0</v>
      </c>
      <c r="BI488" s="76">
        <f>IF($U$488="nulová",$N$488,0)</f>
        <v>0</v>
      </c>
      <c r="BJ488" s="6" t="s">
        <v>16</v>
      </c>
      <c r="BK488" s="76">
        <f>ROUND($L$488*$K$488,2)</f>
        <v>0</v>
      </c>
    </row>
    <row r="489" spans="2:63" s="6" customFormat="1" ht="27" customHeight="1">
      <c r="B489" s="20"/>
      <c r="C489" s="117" t="s">
        <v>537</v>
      </c>
      <c r="D489" s="117" t="s">
        <v>162</v>
      </c>
      <c r="E489" s="118" t="s">
        <v>538</v>
      </c>
      <c r="F489" s="204" t="s">
        <v>539</v>
      </c>
      <c r="G489" s="205"/>
      <c r="H489" s="205"/>
      <c r="I489" s="205"/>
      <c r="J489" s="119" t="s">
        <v>530</v>
      </c>
      <c r="K489" s="145">
        <v>0</v>
      </c>
      <c r="L489" s="206">
        <v>0</v>
      </c>
      <c r="M489" s="205"/>
      <c r="N489" s="207">
        <f>ROUND($L$489*$K$489,2)</f>
        <v>0</v>
      </c>
      <c r="O489" s="205"/>
      <c r="P489" s="205"/>
      <c r="Q489" s="205"/>
      <c r="R489" s="21"/>
      <c r="T489" s="121"/>
      <c r="U489" s="27" t="s">
        <v>37</v>
      </c>
      <c r="V489" s="122">
        <v>0</v>
      </c>
      <c r="W489" s="122">
        <f>$V$489*$K$489</f>
        <v>0</v>
      </c>
      <c r="X489" s="122">
        <v>0</v>
      </c>
      <c r="Y489" s="122">
        <f>$X$489*$K$489</f>
        <v>0</v>
      </c>
      <c r="Z489" s="122">
        <v>0</v>
      </c>
      <c r="AA489" s="123">
        <f>$Z$489*$K$489</f>
        <v>0</v>
      </c>
      <c r="AR489" s="6" t="s">
        <v>221</v>
      </c>
      <c r="AT489" s="6" t="s">
        <v>162</v>
      </c>
      <c r="AU489" s="6" t="s">
        <v>102</v>
      </c>
      <c r="AY489" s="6" t="s">
        <v>161</v>
      </c>
      <c r="BE489" s="76">
        <f>IF($U$489="základní",$N$489,0)</f>
        <v>0</v>
      </c>
      <c r="BF489" s="76">
        <f>IF($U$489="snížená",$N$489,0)</f>
        <v>0</v>
      </c>
      <c r="BG489" s="76">
        <f>IF($U$489="zákl. přenesená",$N$489,0)</f>
        <v>0</v>
      </c>
      <c r="BH489" s="76">
        <f>IF($U$489="sníž. přenesená",$N$489,0)</f>
        <v>0</v>
      </c>
      <c r="BI489" s="76">
        <f>IF($U$489="nulová",$N$489,0)</f>
        <v>0</v>
      </c>
      <c r="BJ489" s="6" t="s">
        <v>16</v>
      </c>
      <c r="BK489" s="76">
        <f>ROUND($L$489*$K$489,2)</f>
        <v>0</v>
      </c>
    </row>
    <row r="490" spans="2:63" s="107" customFormat="1" ht="30.75" customHeight="1">
      <c r="B490" s="108"/>
      <c r="D490" s="116" t="s">
        <v>124</v>
      </c>
      <c r="N490" s="222">
        <f>$BK$490</f>
        <v>0</v>
      </c>
      <c r="O490" s="210"/>
      <c r="P490" s="210"/>
      <c r="Q490" s="210"/>
      <c r="R490" s="111"/>
      <c r="T490" s="112"/>
      <c r="W490" s="113">
        <f>SUM($W$491:$W$580)</f>
        <v>92.79164100000001</v>
      </c>
      <c r="Y490" s="113">
        <f>SUM($Y$491:$Y$580)</f>
        <v>1.60860862</v>
      </c>
      <c r="AA490" s="114">
        <f>SUM($AA$491:$AA$580)</f>
        <v>2.8562170000000004</v>
      </c>
      <c r="AR490" s="110" t="s">
        <v>102</v>
      </c>
      <c r="AT490" s="110" t="s">
        <v>71</v>
      </c>
      <c r="AU490" s="110" t="s">
        <v>16</v>
      </c>
      <c r="AY490" s="110" t="s">
        <v>161</v>
      </c>
      <c r="BK490" s="115">
        <f>SUM($BK$491:$BK$580)</f>
        <v>0</v>
      </c>
    </row>
    <row r="491" spans="2:63" s="6" customFormat="1" ht="27" customHeight="1">
      <c r="B491" s="20"/>
      <c r="C491" s="117" t="s">
        <v>540</v>
      </c>
      <c r="D491" s="117" t="s">
        <v>162</v>
      </c>
      <c r="E491" s="118" t="s">
        <v>541</v>
      </c>
      <c r="F491" s="204" t="s">
        <v>542</v>
      </c>
      <c r="G491" s="205"/>
      <c r="H491" s="205"/>
      <c r="I491" s="205"/>
      <c r="J491" s="119" t="s">
        <v>165</v>
      </c>
      <c r="K491" s="120">
        <v>2.732</v>
      </c>
      <c r="L491" s="206">
        <v>0</v>
      </c>
      <c r="M491" s="205"/>
      <c r="N491" s="207">
        <f>ROUND($L$491*$K$491,2)</f>
        <v>0</v>
      </c>
      <c r="O491" s="205"/>
      <c r="P491" s="205"/>
      <c r="Q491" s="205"/>
      <c r="R491" s="21"/>
      <c r="T491" s="121"/>
      <c r="U491" s="27" t="s">
        <v>37</v>
      </c>
      <c r="V491" s="122">
        <v>1.56</v>
      </c>
      <c r="W491" s="122">
        <f>$V$491*$K$491</f>
        <v>4.261920000000001</v>
      </c>
      <c r="X491" s="122">
        <v>0.00189</v>
      </c>
      <c r="Y491" s="122">
        <f>$X$491*$K$491</f>
        <v>0.005163480000000001</v>
      </c>
      <c r="Z491" s="122">
        <v>0</v>
      </c>
      <c r="AA491" s="123">
        <f>$Z$491*$K$491</f>
        <v>0</v>
      </c>
      <c r="AR491" s="6" t="s">
        <v>221</v>
      </c>
      <c r="AT491" s="6" t="s">
        <v>162</v>
      </c>
      <c r="AU491" s="6" t="s">
        <v>102</v>
      </c>
      <c r="AY491" s="6" t="s">
        <v>161</v>
      </c>
      <c r="BE491" s="76">
        <f>IF($U$491="základní",$N$491,0)</f>
        <v>0</v>
      </c>
      <c r="BF491" s="76">
        <f>IF($U$491="snížená",$N$491,0)</f>
        <v>0</v>
      </c>
      <c r="BG491" s="76">
        <f>IF($U$491="zákl. přenesená",$N$491,0)</f>
        <v>0</v>
      </c>
      <c r="BH491" s="76">
        <f>IF($U$491="sníž. přenesená",$N$491,0)</f>
        <v>0</v>
      </c>
      <c r="BI491" s="76">
        <f>IF($U$491="nulová",$N$491,0)</f>
        <v>0</v>
      </c>
      <c r="BJ491" s="6" t="s">
        <v>16</v>
      </c>
      <c r="BK491" s="76">
        <f>ROUND($L$491*$K$491,2)</f>
        <v>0</v>
      </c>
    </row>
    <row r="492" spans="2:51" s="6" customFormat="1" ht="15.75" customHeight="1">
      <c r="B492" s="129"/>
      <c r="E492" s="130"/>
      <c r="F492" s="213" t="s">
        <v>543</v>
      </c>
      <c r="G492" s="214"/>
      <c r="H492" s="214"/>
      <c r="I492" s="214"/>
      <c r="K492" s="131">
        <v>1.094</v>
      </c>
      <c r="N492" s="130"/>
      <c r="R492" s="132"/>
      <c r="T492" s="133"/>
      <c r="AA492" s="134"/>
      <c r="AT492" s="130" t="s">
        <v>168</v>
      </c>
      <c r="AU492" s="130" t="s">
        <v>102</v>
      </c>
      <c r="AV492" s="130" t="s">
        <v>102</v>
      </c>
      <c r="AW492" s="130" t="s">
        <v>112</v>
      </c>
      <c r="AX492" s="130" t="s">
        <v>72</v>
      </c>
      <c r="AY492" s="130" t="s">
        <v>161</v>
      </c>
    </row>
    <row r="493" spans="2:51" s="6" customFormat="1" ht="15.75" customHeight="1">
      <c r="B493" s="129"/>
      <c r="E493" s="130"/>
      <c r="F493" s="213" t="s">
        <v>544</v>
      </c>
      <c r="G493" s="214"/>
      <c r="H493" s="214"/>
      <c r="I493" s="214"/>
      <c r="K493" s="131">
        <v>0.165</v>
      </c>
      <c r="N493" s="130"/>
      <c r="R493" s="132"/>
      <c r="T493" s="133"/>
      <c r="AA493" s="134"/>
      <c r="AT493" s="130" t="s">
        <v>168</v>
      </c>
      <c r="AU493" s="130" t="s">
        <v>102</v>
      </c>
      <c r="AV493" s="130" t="s">
        <v>102</v>
      </c>
      <c r="AW493" s="130" t="s">
        <v>112</v>
      </c>
      <c r="AX493" s="130" t="s">
        <v>72</v>
      </c>
      <c r="AY493" s="130" t="s">
        <v>161</v>
      </c>
    </row>
    <row r="494" spans="2:51" s="6" customFormat="1" ht="15.75" customHeight="1">
      <c r="B494" s="129"/>
      <c r="E494" s="130"/>
      <c r="F494" s="213" t="s">
        <v>545</v>
      </c>
      <c r="G494" s="214"/>
      <c r="H494" s="214"/>
      <c r="I494" s="214"/>
      <c r="K494" s="131">
        <v>1.367</v>
      </c>
      <c r="N494" s="130"/>
      <c r="R494" s="132"/>
      <c r="T494" s="133"/>
      <c r="AA494" s="134"/>
      <c r="AT494" s="130" t="s">
        <v>168</v>
      </c>
      <c r="AU494" s="130" t="s">
        <v>102</v>
      </c>
      <c r="AV494" s="130" t="s">
        <v>102</v>
      </c>
      <c r="AW494" s="130" t="s">
        <v>112</v>
      </c>
      <c r="AX494" s="130" t="s">
        <v>72</v>
      </c>
      <c r="AY494" s="130" t="s">
        <v>161</v>
      </c>
    </row>
    <row r="495" spans="2:51" s="6" customFormat="1" ht="15.75" customHeight="1">
      <c r="B495" s="129"/>
      <c r="E495" s="130"/>
      <c r="F495" s="213" t="s">
        <v>546</v>
      </c>
      <c r="G495" s="214"/>
      <c r="H495" s="214"/>
      <c r="I495" s="214"/>
      <c r="K495" s="131">
        <v>0.106</v>
      </c>
      <c r="N495" s="130"/>
      <c r="R495" s="132"/>
      <c r="T495" s="133"/>
      <c r="AA495" s="134"/>
      <c r="AT495" s="130" t="s">
        <v>168</v>
      </c>
      <c r="AU495" s="130" t="s">
        <v>102</v>
      </c>
      <c r="AV495" s="130" t="s">
        <v>102</v>
      </c>
      <c r="AW495" s="130" t="s">
        <v>112</v>
      </c>
      <c r="AX495" s="130" t="s">
        <v>72</v>
      </c>
      <c r="AY495" s="130" t="s">
        <v>161</v>
      </c>
    </row>
    <row r="496" spans="2:51" s="6" customFormat="1" ht="15.75" customHeight="1">
      <c r="B496" s="135"/>
      <c r="E496" s="136"/>
      <c r="F496" s="215" t="s">
        <v>171</v>
      </c>
      <c r="G496" s="216"/>
      <c r="H496" s="216"/>
      <c r="I496" s="216"/>
      <c r="K496" s="137">
        <v>2.732</v>
      </c>
      <c r="N496" s="136"/>
      <c r="R496" s="138"/>
      <c r="T496" s="139"/>
      <c r="AA496" s="140"/>
      <c r="AT496" s="136" t="s">
        <v>168</v>
      </c>
      <c r="AU496" s="136" t="s">
        <v>102</v>
      </c>
      <c r="AV496" s="136" t="s">
        <v>166</v>
      </c>
      <c r="AW496" s="136" t="s">
        <v>112</v>
      </c>
      <c r="AX496" s="136" t="s">
        <v>16</v>
      </c>
      <c r="AY496" s="136" t="s">
        <v>161</v>
      </c>
    </row>
    <row r="497" spans="2:63" s="6" customFormat="1" ht="27" customHeight="1">
      <c r="B497" s="20"/>
      <c r="C497" s="117" t="s">
        <v>547</v>
      </c>
      <c r="D497" s="117" t="s">
        <v>162</v>
      </c>
      <c r="E497" s="118" t="s">
        <v>548</v>
      </c>
      <c r="F497" s="204" t="s">
        <v>549</v>
      </c>
      <c r="G497" s="205"/>
      <c r="H497" s="205"/>
      <c r="I497" s="205"/>
      <c r="J497" s="119" t="s">
        <v>245</v>
      </c>
      <c r="K497" s="120">
        <v>56</v>
      </c>
      <c r="L497" s="206">
        <v>0</v>
      </c>
      <c r="M497" s="205"/>
      <c r="N497" s="207">
        <f>ROUND($L$497*$K$497,2)</f>
        <v>0</v>
      </c>
      <c r="O497" s="205"/>
      <c r="P497" s="205"/>
      <c r="Q497" s="205"/>
      <c r="R497" s="21"/>
      <c r="T497" s="121"/>
      <c r="U497" s="27" t="s">
        <v>37</v>
      </c>
      <c r="V497" s="122">
        <v>0.14</v>
      </c>
      <c r="W497" s="122">
        <f>$V$497*$K$497</f>
        <v>7.840000000000001</v>
      </c>
      <c r="X497" s="122">
        <v>0</v>
      </c>
      <c r="Y497" s="122">
        <f>$X$497*$K$497</f>
        <v>0</v>
      </c>
      <c r="Z497" s="122">
        <v>0.014</v>
      </c>
      <c r="AA497" s="123">
        <f>$Z$497*$K$497</f>
        <v>0.784</v>
      </c>
      <c r="AR497" s="6" t="s">
        <v>221</v>
      </c>
      <c r="AT497" s="6" t="s">
        <v>162</v>
      </c>
      <c r="AU497" s="6" t="s">
        <v>102</v>
      </c>
      <c r="AY497" s="6" t="s">
        <v>161</v>
      </c>
      <c r="BE497" s="76">
        <f>IF($U$497="základní",$N$497,0)</f>
        <v>0</v>
      </c>
      <c r="BF497" s="76">
        <f>IF($U$497="snížená",$N$497,0)</f>
        <v>0</v>
      </c>
      <c r="BG497" s="76">
        <f>IF($U$497="zákl. přenesená",$N$497,0)</f>
        <v>0</v>
      </c>
      <c r="BH497" s="76">
        <f>IF($U$497="sníž. přenesená",$N$497,0)</f>
        <v>0</v>
      </c>
      <c r="BI497" s="76">
        <f>IF($U$497="nulová",$N$497,0)</f>
        <v>0</v>
      </c>
      <c r="BJ497" s="6" t="s">
        <v>16</v>
      </c>
      <c r="BK497" s="76">
        <f>ROUND($L$497*$K$497,2)</f>
        <v>0</v>
      </c>
    </row>
    <row r="498" spans="2:51" s="6" customFormat="1" ht="15.75" customHeight="1">
      <c r="B498" s="124"/>
      <c r="E498" s="125"/>
      <c r="F498" s="211" t="s">
        <v>219</v>
      </c>
      <c r="G498" s="212"/>
      <c r="H498" s="212"/>
      <c r="I498" s="212"/>
      <c r="K498" s="125"/>
      <c r="N498" s="125"/>
      <c r="R498" s="126"/>
      <c r="T498" s="127"/>
      <c r="AA498" s="128"/>
      <c r="AT498" s="125" t="s">
        <v>168</v>
      </c>
      <c r="AU498" s="125" t="s">
        <v>102</v>
      </c>
      <c r="AV498" s="125" t="s">
        <v>16</v>
      </c>
      <c r="AW498" s="125" t="s">
        <v>112</v>
      </c>
      <c r="AX498" s="125" t="s">
        <v>72</v>
      </c>
      <c r="AY498" s="125" t="s">
        <v>161</v>
      </c>
    </row>
    <row r="499" spans="2:51" s="6" customFormat="1" ht="15.75" customHeight="1">
      <c r="B499" s="124"/>
      <c r="E499" s="125"/>
      <c r="F499" s="211" t="s">
        <v>550</v>
      </c>
      <c r="G499" s="212"/>
      <c r="H499" s="212"/>
      <c r="I499" s="212"/>
      <c r="K499" s="125"/>
      <c r="N499" s="125"/>
      <c r="R499" s="126"/>
      <c r="T499" s="127"/>
      <c r="AA499" s="128"/>
      <c r="AT499" s="125" t="s">
        <v>168</v>
      </c>
      <c r="AU499" s="125" t="s">
        <v>102</v>
      </c>
      <c r="AV499" s="125" t="s">
        <v>16</v>
      </c>
      <c r="AW499" s="125" t="s">
        <v>112</v>
      </c>
      <c r="AX499" s="125" t="s">
        <v>72</v>
      </c>
      <c r="AY499" s="125" t="s">
        <v>161</v>
      </c>
    </row>
    <row r="500" spans="2:51" s="6" customFormat="1" ht="15.75" customHeight="1">
      <c r="B500" s="129"/>
      <c r="E500" s="130"/>
      <c r="F500" s="213" t="s">
        <v>551</v>
      </c>
      <c r="G500" s="214"/>
      <c r="H500" s="214"/>
      <c r="I500" s="214"/>
      <c r="K500" s="131">
        <v>56</v>
      </c>
      <c r="N500" s="130"/>
      <c r="R500" s="132"/>
      <c r="T500" s="133"/>
      <c r="AA500" s="134"/>
      <c r="AT500" s="130" t="s">
        <v>168</v>
      </c>
      <c r="AU500" s="130" t="s">
        <v>102</v>
      </c>
      <c r="AV500" s="130" t="s">
        <v>102</v>
      </c>
      <c r="AW500" s="130" t="s">
        <v>112</v>
      </c>
      <c r="AX500" s="130" t="s">
        <v>72</v>
      </c>
      <c r="AY500" s="130" t="s">
        <v>161</v>
      </c>
    </row>
    <row r="501" spans="2:51" s="6" customFormat="1" ht="15.75" customHeight="1">
      <c r="B501" s="135"/>
      <c r="E501" s="136"/>
      <c r="F501" s="215" t="s">
        <v>171</v>
      </c>
      <c r="G501" s="216"/>
      <c r="H501" s="216"/>
      <c r="I501" s="216"/>
      <c r="K501" s="137">
        <v>56</v>
      </c>
      <c r="N501" s="136"/>
      <c r="R501" s="138"/>
      <c r="T501" s="139"/>
      <c r="AA501" s="140"/>
      <c r="AT501" s="136" t="s">
        <v>168</v>
      </c>
      <c r="AU501" s="136" t="s">
        <v>102</v>
      </c>
      <c r="AV501" s="136" t="s">
        <v>166</v>
      </c>
      <c r="AW501" s="136" t="s">
        <v>112</v>
      </c>
      <c r="AX501" s="136" t="s">
        <v>16</v>
      </c>
      <c r="AY501" s="136" t="s">
        <v>161</v>
      </c>
    </row>
    <row r="502" spans="2:63" s="6" customFormat="1" ht="27" customHeight="1">
      <c r="B502" s="20"/>
      <c r="C502" s="117" t="s">
        <v>552</v>
      </c>
      <c r="D502" s="117" t="s">
        <v>162</v>
      </c>
      <c r="E502" s="118" t="s">
        <v>553</v>
      </c>
      <c r="F502" s="204" t="s">
        <v>554</v>
      </c>
      <c r="G502" s="205"/>
      <c r="H502" s="205"/>
      <c r="I502" s="205"/>
      <c r="J502" s="119" t="s">
        <v>245</v>
      </c>
      <c r="K502" s="120">
        <v>14.7</v>
      </c>
      <c r="L502" s="206">
        <v>0</v>
      </c>
      <c r="M502" s="205"/>
      <c r="N502" s="207">
        <f>ROUND($L$502*$K$502,2)</f>
        <v>0</v>
      </c>
      <c r="O502" s="205"/>
      <c r="P502" s="205"/>
      <c r="Q502" s="205"/>
      <c r="R502" s="21"/>
      <c r="T502" s="121"/>
      <c r="U502" s="27" t="s">
        <v>37</v>
      </c>
      <c r="V502" s="122">
        <v>0.354</v>
      </c>
      <c r="W502" s="122">
        <f>$V$502*$K$502</f>
        <v>5.203799999999999</v>
      </c>
      <c r="X502" s="122">
        <v>0</v>
      </c>
      <c r="Y502" s="122">
        <f>$X$502*$K$502</f>
        <v>0</v>
      </c>
      <c r="Z502" s="122">
        <v>0</v>
      </c>
      <c r="AA502" s="123">
        <f>$Z$502*$K$502</f>
        <v>0</v>
      </c>
      <c r="AR502" s="6" t="s">
        <v>221</v>
      </c>
      <c r="AT502" s="6" t="s">
        <v>162</v>
      </c>
      <c r="AU502" s="6" t="s">
        <v>102</v>
      </c>
      <c r="AY502" s="6" t="s">
        <v>161</v>
      </c>
      <c r="BE502" s="76">
        <f>IF($U$502="základní",$N$502,0)</f>
        <v>0</v>
      </c>
      <c r="BF502" s="76">
        <f>IF($U$502="snížená",$N$502,0)</f>
        <v>0</v>
      </c>
      <c r="BG502" s="76">
        <f>IF($U$502="zákl. přenesená",$N$502,0)</f>
        <v>0</v>
      </c>
      <c r="BH502" s="76">
        <f>IF($U$502="sníž. přenesená",$N$502,0)</f>
        <v>0</v>
      </c>
      <c r="BI502" s="76">
        <f>IF($U$502="nulová",$N$502,0)</f>
        <v>0</v>
      </c>
      <c r="BJ502" s="6" t="s">
        <v>16</v>
      </c>
      <c r="BK502" s="76">
        <f>ROUND($L$502*$K$502,2)</f>
        <v>0</v>
      </c>
    </row>
    <row r="503" spans="2:51" s="6" customFormat="1" ht="15.75" customHeight="1">
      <c r="B503" s="124"/>
      <c r="E503" s="125"/>
      <c r="F503" s="211" t="s">
        <v>555</v>
      </c>
      <c r="G503" s="212"/>
      <c r="H503" s="212"/>
      <c r="I503" s="212"/>
      <c r="K503" s="125"/>
      <c r="N503" s="125"/>
      <c r="R503" s="126"/>
      <c r="T503" s="127"/>
      <c r="AA503" s="128"/>
      <c r="AT503" s="125" t="s">
        <v>168</v>
      </c>
      <c r="AU503" s="125" t="s">
        <v>102</v>
      </c>
      <c r="AV503" s="125" t="s">
        <v>16</v>
      </c>
      <c r="AW503" s="125" t="s">
        <v>112</v>
      </c>
      <c r="AX503" s="125" t="s">
        <v>72</v>
      </c>
      <c r="AY503" s="125" t="s">
        <v>161</v>
      </c>
    </row>
    <row r="504" spans="2:51" s="6" customFormat="1" ht="15.75" customHeight="1">
      <c r="B504" s="129"/>
      <c r="E504" s="130"/>
      <c r="F504" s="213" t="s">
        <v>556</v>
      </c>
      <c r="G504" s="214"/>
      <c r="H504" s="214"/>
      <c r="I504" s="214"/>
      <c r="K504" s="131">
        <v>14.7</v>
      </c>
      <c r="N504" s="130"/>
      <c r="R504" s="132"/>
      <c r="T504" s="133"/>
      <c r="AA504" s="134"/>
      <c r="AT504" s="130" t="s">
        <v>168</v>
      </c>
      <c r="AU504" s="130" t="s">
        <v>102</v>
      </c>
      <c r="AV504" s="130" t="s">
        <v>102</v>
      </c>
      <c r="AW504" s="130" t="s">
        <v>112</v>
      </c>
      <c r="AX504" s="130" t="s">
        <v>72</v>
      </c>
      <c r="AY504" s="130" t="s">
        <v>161</v>
      </c>
    </row>
    <row r="505" spans="2:51" s="6" customFormat="1" ht="15.75" customHeight="1">
      <c r="B505" s="135"/>
      <c r="E505" s="136"/>
      <c r="F505" s="215" t="s">
        <v>171</v>
      </c>
      <c r="G505" s="216"/>
      <c r="H505" s="216"/>
      <c r="I505" s="216"/>
      <c r="K505" s="137">
        <v>14.7</v>
      </c>
      <c r="N505" s="136"/>
      <c r="R505" s="138"/>
      <c r="T505" s="139"/>
      <c r="AA505" s="140"/>
      <c r="AT505" s="136" t="s">
        <v>168</v>
      </c>
      <c r="AU505" s="136" t="s">
        <v>102</v>
      </c>
      <c r="AV505" s="136" t="s">
        <v>166</v>
      </c>
      <c r="AW505" s="136" t="s">
        <v>112</v>
      </c>
      <c r="AX505" s="136" t="s">
        <v>16</v>
      </c>
      <c r="AY505" s="136" t="s">
        <v>161</v>
      </c>
    </row>
    <row r="506" spans="2:63" s="6" customFormat="1" ht="15.75" customHeight="1">
      <c r="B506" s="20"/>
      <c r="C506" s="141" t="s">
        <v>557</v>
      </c>
      <c r="D506" s="141" t="s">
        <v>227</v>
      </c>
      <c r="E506" s="142" t="s">
        <v>558</v>
      </c>
      <c r="F506" s="217" t="s">
        <v>559</v>
      </c>
      <c r="G506" s="218"/>
      <c r="H506" s="218"/>
      <c r="I506" s="218"/>
      <c r="J506" s="143" t="s">
        <v>165</v>
      </c>
      <c r="K506" s="144">
        <v>0.173</v>
      </c>
      <c r="L506" s="219">
        <v>0</v>
      </c>
      <c r="M506" s="218"/>
      <c r="N506" s="220">
        <f>ROUND($L$506*$K$506,2)</f>
        <v>0</v>
      </c>
      <c r="O506" s="205"/>
      <c r="P506" s="205"/>
      <c r="Q506" s="205"/>
      <c r="R506" s="21"/>
      <c r="T506" s="121"/>
      <c r="U506" s="27" t="s">
        <v>37</v>
      </c>
      <c r="V506" s="122">
        <v>0</v>
      </c>
      <c r="W506" s="122">
        <f>$V$506*$K$506</f>
        <v>0</v>
      </c>
      <c r="X506" s="122">
        <v>0.55</v>
      </c>
      <c r="Y506" s="122">
        <f>$X$506*$K$506</f>
        <v>0.09515</v>
      </c>
      <c r="Z506" s="122">
        <v>0</v>
      </c>
      <c r="AA506" s="123">
        <f>$Z$506*$K$506</f>
        <v>0</v>
      </c>
      <c r="AR506" s="6" t="s">
        <v>291</v>
      </c>
      <c r="AT506" s="6" t="s">
        <v>227</v>
      </c>
      <c r="AU506" s="6" t="s">
        <v>102</v>
      </c>
      <c r="AY506" s="6" t="s">
        <v>161</v>
      </c>
      <c r="BE506" s="76">
        <f>IF($U$506="základní",$N$506,0)</f>
        <v>0</v>
      </c>
      <c r="BF506" s="76">
        <f>IF($U$506="snížená",$N$506,0)</f>
        <v>0</v>
      </c>
      <c r="BG506" s="76">
        <f>IF($U$506="zákl. přenesená",$N$506,0)</f>
        <v>0</v>
      </c>
      <c r="BH506" s="76">
        <f>IF($U$506="sníž. přenesená",$N$506,0)</f>
        <v>0</v>
      </c>
      <c r="BI506" s="76">
        <f>IF($U$506="nulová",$N$506,0)</f>
        <v>0</v>
      </c>
      <c r="BJ506" s="6" t="s">
        <v>16</v>
      </c>
      <c r="BK506" s="76">
        <f>ROUND($L$506*$K$506,2)</f>
        <v>0</v>
      </c>
    </row>
    <row r="507" spans="2:51" s="6" customFormat="1" ht="15.75" customHeight="1">
      <c r="B507" s="124"/>
      <c r="E507" s="125"/>
      <c r="F507" s="211" t="s">
        <v>555</v>
      </c>
      <c r="G507" s="212"/>
      <c r="H507" s="212"/>
      <c r="I507" s="212"/>
      <c r="K507" s="125"/>
      <c r="N507" s="125"/>
      <c r="R507" s="126"/>
      <c r="T507" s="127"/>
      <c r="AA507" s="128"/>
      <c r="AT507" s="125" t="s">
        <v>168</v>
      </c>
      <c r="AU507" s="125" t="s">
        <v>102</v>
      </c>
      <c r="AV507" s="125" t="s">
        <v>16</v>
      </c>
      <c r="AW507" s="125" t="s">
        <v>112</v>
      </c>
      <c r="AX507" s="125" t="s">
        <v>72</v>
      </c>
      <c r="AY507" s="125" t="s">
        <v>161</v>
      </c>
    </row>
    <row r="508" spans="2:51" s="6" customFormat="1" ht="15.75" customHeight="1">
      <c r="B508" s="129"/>
      <c r="E508" s="130"/>
      <c r="F508" s="213" t="s">
        <v>560</v>
      </c>
      <c r="G508" s="214"/>
      <c r="H508" s="214"/>
      <c r="I508" s="214"/>
      <c r="K508" s="131">
        <v>0.165</v>
      </c>
      <c r="N508" s="130"/>
      <c r="R508" s="132"/>
      <c r="T508" s="133"/>
      <c r="AA508" s="134"/>
      <c r="AT508" s="130" t="s">
        <v>168</v>
      </c>
      <c r="AU508" s="130" t="s">
        <v>102</v>
      </c>
      <c r="AV508" s="130" t="s">
        <v>102</v>
      </c>
      <c r="AW508" s="130" t="s">
        <v>112</v>
      </c>
      <c r="AX508" s="130" t="s">
        <v>72</v>
      </c>
      <c r="AY508" s="130" t="s">
        <v>161</v>
      </c>
    </row>
    <row r="509" spans="2:51" s="6" customFormat="1" ht="15.75" customHeight="1">
      <c r="B509" s="135"/>
      <c r="E509" s="136"/>
      <c r="F509" s="215" t="s">
        <v>171</v>
      </c>
      <c r="G509" s="216"/>
      <c r="H509" s="216"/>
      <c r="I509" s="216"/>
      <c r="K509" s="137">
        <v>0.165</v>
      </c>
      <c r="N509" s="136"/>
      <c r="R509" s="138"/>
      <c r="T509" s="139"/>
      <c r="AA509" s="140"/>
      <c r="AT509" s="136" t="s">
        <v>168</v>
      </c>
      <c r="AU509" s="136" t="s">
        <v>102</v>
      </c>
      <c r="AV509" s="136" t="s">
        <v>166</v>
      </c>
      <c r="AW509" s="136" t="s">
        <v>112</v>
      </c>
      <c r="AX509" s="136" t="s">
        <v>72</v>
      </c>
      <c r="AY509" s="136" t="s">
        <v>161</v>
      </c>
    </row>
    <row r="510" spans="2:51" s="6" customFormat="1" ht="15.75" customHeight="1">
      <c r="B510" s="129"/>
      <c r="E510" s="130"/>
      <c r="F510" s="213" t="s">
        <v>561</v>
      </c>
      <c r="G510" s="214"/>
      <c r="H510" s="214"/>
      <c r="I510" s="214"/>
      <c r="K510" s="131">
        <v>0.173</v>
      </c>
      <c r="N510" s="130"/>
      <c r="R510" s="132"/>
      <c r="T510" s="133"/>
      <c r="AA510" s="134"/>
      <c r="AT510" s="130" t="s">
        <v>168</v>
      </c>
      <c r="AU510" s="130" t="s">
        <v>102</v>
      </c>
      <c r="AV510" s="130" t="s">
        <v>102</v>
      </c>
      <c r="AW510" s="130" t="s">
        <v>112</v>
      </c>
      <c r="AX510" s="130" t="s">
        <v>16</v>
      </c>
      <c r="AY510" s="130" t="s">
        <v>161</v>
      </c>
    </row>
    <row r="511" spans="2:63" s="6" customFormat="1" ht="27" customHeight="1">
      <c r="B511" s="20"/>
      <c r="C511" s="117" t="s">
        <v>562</v>
      </c>
      <c r="D511" s="117" t="s">
        <v>162</v>
      </c>
      <c r="E511" s="118" t="s">
        <v>563</v>
      </c>
      <c r="F511" s="204" t="s">
        <v>564</v>
      </c>
      <c r="G511" s="205"/>
      <c r="H511" s="205"/>
      <c r="I511" s="205"/>
      <c r="J511" s="119" t="s">
        <v>245</v>
      </c>
      <c r="K511" s="120">
        <v>94.15</v>
      </c>
      <c r="L511" s="206">
        <v>0</v>
      </c>
      <c r="M511" s="205"/>
      <c r="N511" s="207">
        <f>ROUND($L$511*$K$511,2)</f>
        <v>0</v>
      </c>
      <c r="O511" s="205"/>
      <c r="P511" s="205"/>
      <c r="Q511" s="205"/>
      <c r="R511" s="21"/>
      <c r="T511" s="121"/>
      <c r="U511" s="27" t="s">
        <v>37</v>
      </c>
      <c r="V511" s="122">
        <v>0.454</v>
      </c>
      <c r="W511" s="122">
        <f>$V$511*$K$511</f>
        <v>42.7441</v>
      </c>
      <c r="X511" s="122">
        <v>0</v>
      </c>
      <c r="Y511" s="122">
        <f>$X$511*$K$511</f>
        <v>0</v>
      </c>
      <c r="Z511" s="122">
        <v>0</v>
      </c>
      <c r="AA511" s="123">
        <f>$Z$511*$K$511</f>
        <v>0</v>
      </c>
      <c r="AR511" s="6" t="s">
        <v>221</v>
      </c>
      <c r="AT511" s="6" t="s">
        <v>162</v>
      </c>
      <c r="AU511" s="6" t="s">
        <v>102</v>
      </c>
      <c r="AY511" s="6" t="s">
        <v>161</v>
      </c>
      <c r="BE511" s="76">
        <f>IF($U$511="základní",$N$511,0)</f>
        <v>0</v>
      </c>
      <c r="BF511" s="76">
        <f>IF($U$511="snížená",$N$511,0)</f>
        <v>0</v>
      </c>
      <c r="BG511" s="76">
        <f>IF($U$511="zákl. přenesená",$N$511,0)</f>
        <v>0</v>
      </c>
      <c r="BH511" s="76">
        <f>IF($U$511="sníž. přenesená",$N$511,0)</f>
        <v>0</v>
      </c>
      <c r="BI511" s="76">
        <f>IF($U$511="nulová",$N$511,0)</f>
        <v>0</v>
      </c>
      <c r="BJ511" s="6" t="s">
        <v>16</v>
      </c>
      <c r="BK511" s="76">
        <f>ROUND($L$511*$K$511,2)</f>
        <v>0</v>
      </c>
    </row>
    <row r="512" spans="2:51" s="6" customFormat="1" ht="15.75" customHeight="1">
      <c r="B512" s="124"/>
      <c r="E512" s="125"/>
      <c r="F512" s="211" t="s">
        <v>219</v>
      </c>
      <c r="G512" s="212"/>
      <c r="H512" s="212"/>
      <c r="I512" s="212"/>
      <c r="K512" s="125"/>
      <c r="N512" s="125"/>
      <c r="R512" s="126"/>
      <c r="T512" s="127"/>
      <c r="AA512" s="128"/>
      <c r="AT512" s="125" t="s">
        <v>168</v>
      </c>
      <c r="AU512" s="125" t="s">
        <v>102</v>
      </c>
      <c r="AV512" s="125" t="s">
        <v>16</v>
      </c>
      <c r="AW512" s="125" t="s">
        <v>112</v>
      </c>
      <c r="AX512" s="125" t="s">
        <v>72</v>
      </c>
      <c r="AY512" s="125" t="s">
        <v>161</v>
      </c>
    </row>
    <row r="513" spans="2:51" s="6" customFormat="1" ht="15.75" customHeight="1">
      <c r="B513" s="124"/>
      <c r="E513" s="125"/>
      <c r="F513" s="211" t="s">
        <v>565</v>
      </c>
      <c r="G513" s="212"/>
      <c r="H513" s="212"/>
      <c r="I513" s="212"/>
      <c r="K513" s="125"/>
      <c r="N513" s="125"/>
      <c r="R513" s="126"/>
      <c r="T513" s="127"/>
      <c r="AA513" s="128"/>
      <c r="AT513" s="125" t="s">
        <v>168</v>
      </c>
      <c r="AU513" s="125" t="s">
        <v>102</v>
      </c>
      <c r="AV513" s="125" t="s">
        <v>16</v>
      </c>
      <c r="AW513" s="125" t="s">
        <v>112</v>
      </c>
      <c r="AX513" s="125" t="s">
        <v>72</v>
      </c>
      <c r="AY513" s="125" t="s">
        <v>161</v>
      </c>
    </row>
    <row r="514" spans="2:51" s="6" customFormat="1" ht="27" customHeight="1">
      <c r="B514" s="129"/>
      <c r="E514" s="130"/>
      <c r="F514" s="213" t="s">
        <v>566</v>
      </c>
      <c r="G514" s="214"/>
      <c r="H514" s="214"/>
      <c r="I514" s="214"/>
      <c r="K514" s="131">
        <v>78.12</v>
      </c>
      <c r="N514" s="130"/>
      <c r="R514" s="132"/>
      <c r="T514" s="133"/>
      <c r="AA514" s="134"/>
      <c r="AT514" s="130" t="s">
        <v>168</v>
      </c>
      <c r="AU514" s="130" t="s">
        <v>102</v>
      </c>
      <c r="AV514" s="130" t="s">
        <v>102</v>
      </c>
      <c r="AW514" s="130" t="s">
        <v>112</v>
      </c>
      <c r="AX514" s="130" t="s">
        <v>72</v>
      </c>
      <c r="AY514" s="130" t="s">
        <v>161</v>
      </c>
    </row>
    <row r="515" spans="2:51" s="6" customFormat="1" ht="15.75" customHeight="1">
      <c r="B515" s="124"/>
      <c r="E515" s="125"/>
      <c r="F515" s="211" t="s">
        <v>567</v>
      </c>
      <c r="G515" s="212"/>
      <c r="H515" s="212"/>
      <c r="I515" s="212"/>
      <c r="K515" s="125"/>
      <c r="N515" s="125"/>
      <c r="R515" s="126"/>
      <c r="T515" s="127"/>
      <c r="AA515" s="128"/>
      <c r="AT515" s="125" t="s">
        <v>168</v>
      </c>
      <c r="AU515" s="125" t="s">
        <v>102</v>
      </c>
      <c r="AV515" s="125" t="s">
        <v>16</v>
      </c>
      <c r="AW515" s="125" t="s">
        <v>112</v>
      </c>
      <c r="AX515" s="125" t="s">
        <v>72</v>
      </c>
      <c r="AY515" s="125" t="s">
        <v>161</v>
      </c>
    </row>
    <row r="516" spans="2:51" s="6" customFormat="1" ht="15.75" customHeight="1">
      <c r="B516" s="129"/>
      <c r="E516" s="130"/>
      <c r="F516" s="213" t="s">
        <v>447</v>
      </c>
      <c r="G516" s="214"/>
      <c r="H516" s="214"/>
      <c r="I516" s="214"/>
      <c r="K516" s="131">
        <v>15.03</v>
      </c>
      <c r="N516" s="130"/>
      <c r="R516" s="132"/>
      <c r="T516" s="133"/>
      <c r="AA516" s="134"/>
      <c r="AT516" s="130" t="s">
        <v>168</v>
      </c>
      <c r="AU516" s="130" t="s">
        <v>102</v>
      </c>
      <c r="AV516" s="130" t="s">
        <v>102</v>
      </c>
      <c r="AW516" s="130" t="s">
        <v>112</v>
      </c>
      <c r="AX516" s="130" t="s">
        <v>72</v>
      </c>
      <c r="AY516" s="130" t="s">
        <v>161</v>
      </c>
    </row>
    <row r="517" spans="2:51" s="6" customFormat="1" ht="15.75" customHeight="1">
      <c r="B517" s="124"/>
      <c r="E517" s="125"/>
      <c r="F517" s="211" t="s">
        <v>568</v>
      </c>
      <c r="G517" s="212"/>
      <c r="H517" s="212"/>
      <c r="I517" s="212"/>
      <c r="K517" s="125"/>
      <c r="N517" s="125"/>
      <c r="R517" s="126"/>
      <c r="T517" s="127"/>
      <c r="AA517" s="128"/>
      <c r="AT517" s="125" t="s">
        <v>168</v>
      </c>
      <c r="AU517" s="125" t="s">
        <v>102</v>
      </c>
      <c r="AV517" s="125" t="s">
        <v>16</v>
      </c>
      <c r="AW517" s="125" t="s">
        <v>112</v>
      </c>
      <c r="AX517" s="125" t="s">
        <v>72</v>
      </c>
      <c r="AY517" s="125" t="s">
        <v>161</v>
      </c>
    </row>
    <row r="518" spans="2:51" s="6" customFormat="1" ht="15.75" customHeight="1">
      <c r="B518" s="129"/>
      <c r="E518" s="130"/>
      <c r="F518" s="213" t="s">
        <v>569</v>
      </c>
      <c r="G518" s="214"/>
      <c r="H518" s="214"/>
      <c r="I518" s="214"/>
      <c r="K518" s="131">
        <v>1</v>
      </c>
      <c r="N518" s="130"/>
      <c r="R518" s="132"/>
      <c r="T518" s="133"/>
      <c r="AA518" s="134"/>
      <c r="AT518" s="130" t="s">
        <v>168</v>
      </c>
      <c r="AU518" s="130" t="s">
        <v>102</v>
      </c>
      <c r="AV518" s="130" t="s">
        <v>102</v>
      </c>
      <c r="AW518" s="130" t="s">
        <v>112</v>
      </c>
      <c r="AX518" s="130" t="s">
        <v>72</v>
      </c>
      <c r="AY518" s="130" t="s">
        <v>161</v>
      </c>
    </row>
    <row r="519" spans="2:51" s="6" customFormat="1" ht="15.75" customHeight="1">
      <c r="B519" s="135"/>
      <c r="E519" s="136"/>
      <c r="F519" s="215" t="s">
        <v>171</v>
      </c>
      <c r="G519" s="216"/>
      <c r="H519" s="216"/>
      <c r="I519" s="216"/>
      <c r="K519" s="137">
        <v>94.15</v>
      </c>
      <c r="N519" s="136"/>
      <c r="R519" s="138"/>
      <c r="T519" s="139"/>
      <c r="AA519" s="140"/>
      <c r="AT519" s="136" t="s">
        <v>168</v>
      </c>
      <c r="AU519" s="136" t="s">
        <v>102</v>
      </c>
      <c r="AV519" s="136" t="s">
        <v>166</v>
      </c>
      <c r="AW519" s="136" t="s">
        <v>112</v>
      </c>
      <c r="AX519" s="136" t="s">
        <v>16</v>
      </c>
      <c r="AY519" s="136" t="s">
        <v>161</v>
      </c>
    </row>
    <row r="520" spans="2:63" s="6" customFormat="1" ht="15.75" customHeight="1">
      <c r="B520" s="20"/>
      <c r="C520" s="141" t="s">
        <v>570</v>
      </c>
      <c r="D520" s="141" t="s">
        <v>227</v>
      </c>
      <c r="E520" s="142" t="s">
        <v>571</v>
      </c>
      <c r="F520" s="217" t="s">
        <v>572</v>
      </c>
      <c r="G520" s="218"/>
      <c r="H520" s="218"/>
      <c r="I520" s="218"/>
      <c r="J520" s="143" t="s">
        <v>165</v>
      </c>
      <c r="K520" s="144">
        <v>1.435</v>
      </c>
      <c r="L520" s="219">
        <v>0</v>
      </c>
      <c r="M520" s="218"/>
      <c r="N520" s="220">
        <f>ROUND($L$520*$K$520,2)</f>
        <v>0</v>
      </c>
      <c r="O520" s="205"/>
      <c r="P520" s="205"/>
      <c r="Q520" s="205"/>
      <c r="R520" s="21"/>
      <c r="T520" s="121"/>
      <c r="U520" s="27" t="s">
        <v>37</v>
      </c>
      <c r="V520" s="122">
        <v>0</v>
      </c>
      <c r="W520" s="122">
        <f>$V$520*$K$520</f>
        <v>0</v>
      </c>
      <c r="X520" s="122">
        <v>0.55</v>
      </c>
      <c r="Y520" s="122">
        <f>$X$520*$K$520</f>
        <v>0.7892500000000001</v>
      </c>
      <c r="Z520" s="122">
        <v>0</v>
      </c>
      <c r="AA520" s="123">
        <f>$Z$520*$K$520</f>
        <v>0</v>
      </c>
      <c r="AR520" s="6" t="s">
        <v>291</v>
      </c>
      <c r="AT520" s="6" t="s">
        <v>227</v>
      </c>
      <c r="AU520" s="6" t="s">
        <v>102</v>
      </c>
      <c r="AY520" s="6" t="s">
        <v>161</v>
      </c>
      <c r="BE520" s="76">
        <f>IF($U$520="základní",$N$520,0)</f>
        <v>0</v>
      </c>
      <c r="BF520" s="76">
        <f>IF($U$520="snížená",$N$520,0)</f>
        <v>0</v>
      </c>
      <c r="BG520" s="76">
        <f>IF($U$520="zákl. přenesená",$N$520,0)</f>
        <v>0</v>
      </c>
      <c r="BH520" s="76">
        <f>IF($U$520="sníž. přenesená",$N$520,0)</f>
        <v>0</v>
      </c>
      <c r="BI520" s="76">
        <f>IF($U$520="nulová",$N$520,0)</f>
        <v>0</v>
      </c>
      <c r="BJ520" s="6" t="s">
        <v>16</v>
      </c>
      <c r="BK520" s="76">
        <f>ROUND($L$520*$K$520,2)</f>
        <v>0</v>
      </c>
    </row>
    <row r="521" spans="2:51" s="6" customFormat="1" ht="15.75" customHeight="1">
      <c r="B521" s="124"/>
      <c r="E521" s="125"/>
      <c r="F521" s="211" t="s">
        <v>219</v>
      </c>
      <c r="G521" s="212"/>
      <c r="H521" s="212"/>
      <c r="I521" s="212"/>
      <c r="K521" s="125"/>
      <c r="N521" s="125"/>
      <c r="R521" s="126"/>
      <c r="T521" s="127"/>
      <c r="AA521" s="128"/>
      <c r="AT521" s="125" t="s">
        <v>168</v>
      </c>
      <c r="AU521" s="125" t="s">
        <v>102</v>
      </c>
      <c r="AV521" s="125" t="s">
        <v>16</v>
      </c>
      <c r="AW521" s="125" t="s">
        <v>112</v>
      </c>
      <c r="AX521" s="125" t="s">
        <v>72</v>
      </c>
      <c r="AY521" s="125" t="s">
        <v>161</v>
      </c>
    </row>
    <row r="522" spans="2:51" s="6" customFormat="1" ht="15.75" customHeight="1">
      <c r="B522" s="124"/>
      <c r="E522" s="125"/>
      <c r="F522" s="211" t="s">
        <v>565</v>
      </c>
      <c r="G522" s="212"/>
      <c r="H522" s="212"/>
      <c r="I522" s="212"/>
      <c r="K522" s="125"/>
      <c r="N522" s="125"/>
      <c r="R522" s="126"/>
      <c r="T522" s="127"/>
      <c r="AA522" s="128"/>
      <c r="AT522" s="125" t="s">
        <v>168</v>
      </c>
      <c r="AU522" s="125" t="s">
        <v>102</v>
      </c>
      <c r="AV522" s="125" t="s">
        <v>16</v>
      </c>
      <c r="AW522" s="125" t="s">
        <v>112</v>
      </c>
      <c r="AX522" s="125" t="s">
        <v>72</v>
      </c>
      <c r="AY522" s="125" t="s">
        <v>161</v>
      </c>
    </row>
    <row r="523" spans="2:51" s="6" customFormat="1" ht="27" customHeight="1">
      <c r="B523" s="129"/>
      <c r="E523" s="130"/>
      <c r="F523" s="213" t="s">
        <v>573</v>
      </c>
      <c r="G523" s="214"/>
      <c r="H523" s="214"/>
      <c r="I523" s="214"/>
      <c r="K523" s="131">
        <v>1.094</v>
      </c>
      <c r="N523" s="130"/>
      <c r="R523" s="132"/>
      <c r="T523" s="133"/>
      <c r="AA523" s="134"/>
      <c r="AT523" s="130" t="s">
        <v>168</v>
      </c>
      <c r="AU523" s="130" t="s">
        <v>102</v>
      </c>
      <c r="AV523" s="130" t="s">
        <v>102</v>
      </c>
      <c r="AW523" s="130" t="s">
        <v>112</v>
      </c>
      <c r="AX523" s="130" t="s">
        <v>72</v>
      </c>
      <c r="AY523" s="130" t="s">
        <v>161</v>
      </c>
    </row>
    <row r="524" spans="2:51" s="6" customFormat="1" ht="15.75" customHeight="1">
      <c r="B524" s="124"/>
      <c r="E524" s="125"/>
      <c r="F524" s="211" t="s">
        <v>567</v>
      </c>
      <c r="G524" s="212"/>
      <c r="H524" s="212"/>
      <c r="I524" s="212"/>
      <c r="K524" s="125"/>
      <c r="N524" s="125"/>
      <c r="R524" s="126"/>
      <c r="T524" s="127"/>
      <c r="AA524" s="128"/>
      <c r="AT524" s="125" t="s">
        <v>168</v>
      </c>
      <c r="AU524" s="125" t="s">
        <v>102</v>
      </c>
      <c r="AV524" s="125" t="s">
        <v>16</v>
      </c>
      <c r="AW524" s="125" t="s">
        <v>112</v>
      </c>
      <c r="AX524" s="125" t="s">
        <v>72</v>
      </c>
      <c r="AY524" s="125" t="s">
        <v>161</v>
      </c>
    </row>
    <row r="525" spans="2:51" s="6" customFormat="1" ht="15.75" customHeight="1">
      <c r="B525" s="129"/>
      <c r="E525" s="130"/>
      <c r="F525" s="213" t="s">
        <v>574</v>
      </c>
      <c r="G525" s="214"/>
      <c r="H525" s="214"/>
      <c r="I525" s="214"/>
      <c r="K525" s="131">
        <v>0.253</v>
      </c>
      <c r="N525" s="130"/>
      <c r="R525" s="132"/>
      <c r="T525" s="133"/>
      <c r="AA525" s="134"/>
      <c r="AT525" s="130" t="s">
        <v>168</v>
      </c>
      <c r="AU525" s="130" t="s">
        <v>102</v>
      </c>
      <c r="AV525" s="130" t="s">
        <v>102</v>
      </c>
      <c r="AW525" s="130" t="s">
        <v>112</v>
      </c>
      <c r="AX525" s="130" t="s">
        <v>72</v>
      </c>
      <c r="AY525" s="130" t="s">
        <v>161</v>
      </c>
    </row>
    <row r="526" spans="2:51" s="6" customFormat="1" ht="15.75" customHeight="1">
      <c r="B526" s="124"/>
      <c r="E526" s="125"/>
      <c r="F526" s="211" t="s">
        <v>568</v>
      </c>
      <c r="G526" s="212"/>
      <c r="H526" s="212"/>
      <c r="I526" s="212"/>
      <c r="K526" s="125"/>
      <c r="N526" s="125"/>
      <c r="R526" s="126"/>
      <c r="T526" s="127"/>
      <c r="AA526" s="128"/>
      <c r="AT526" s="125" t="s">
        <v>168</v>
      </c>
      <c r="AU526" s="125" t="s">
        <v>102</v>
      </c>
      <c r="AV526" s="125" t="s">
        <v>16</v>
      </c>
      <c r="AW526" s="125" t="s">
        <v>112</v>
      </c>
      <c r="AX526" s="125" t="s">
        <v>72</v>
      </c>
      <c r="AY526" s="125" t="s">
        <v>161</v>
      </c>
    </row>
    <row r="527" spans="2:51" s="6" customFormat="1" ht="15.75" customHeight="1">
      <c r="B527" s="129"/>
      <c r="E527" s="130"/>
      <c r="F527" s="213" t="s">
        <v>575</v>
      </c>
      <c r="G527" s="214"/>
      <c r="H527" s="214"/>
      <c r="I527" s="214"/>
      <c r="K527" s="131">
        <v>0.02</v>
      </c>
      <c r="N527" s="130"/>
      <c r="R527" s="132"/>
      <c r="T527" s="133"/>
      <c r="AA527" s="134"/>
      <c r="AT527" s="130" t="s">
        <v>168</v>
      </c>
      <c r="AU527" s="130" t="s">
        <v>102</v>
      </c>
      <c r="AV527" s="130" t="s">
        <v>102</v>
      </c>
      <c r="AW527" s="130" t="s">
        <v>112</v>
      </c>
      <c r="AX527" s="130" t="s">
        <v>72</v>
      </c>
      <c r="AY527" s="130" t="s">
        <v>161</v>
      </c>
    </row>
    <row r="528" spans="2:51" s="6" customFormat="1" ht="15.75" customHeight="1">
      <c r="B528" s="135"/>
      <c r="E528" s="136"/>
      <c r="F528" s="215" t="s">
        <v>171</v>
      </c>
      <c r="G528" s="216"/>
      <c r="H528" s="216"/>
      <c r="I528" s="216"/>
      <c r="K528" s="137">
        <v>1.367</v>
      </c>
      <c r="N528" s="136"/>
      <c r="R528" s="138"/>
      <c r="T528" s="139"/>
      <c r="AA528" s="140"/>
      <c r="AT528" s="136" t="s">
        <v>168</v>
      </c>
      <c r="AU528" s="136" t="s">
        <v>102</v>
      </c>
      <c r="AV528" s="136" t="s">
        <v>166</v>
      </c>
      <c r="AW528" s="136" t="s">
        <v>112</v>
      </c>
      <c r="AX528" s="136" t="s">
        <v>72</v>
      </c>
      <c r="AY528" s="136" t="s">
        <v>161</v>
      </c>
    </row>
    <row r="529" spans="2:51" s="6" customFormat="1" ht="15.75" customHeight="1">
      <c r="B529" s="129"/>
      <c r="E529" s="130"/>
      <c r="F529" s="213" t="s">
        <v>576</v>
      </c>
      <c r="G529" s="214"/>
      <c r="H529" s="214"/>
      <c r="I529" s="214"/>
      <c r="K529" s="131">
        <v>1.435</v>
      </c>
      <c r="N529" s="130"/>
      <c r="R529" s="132"/>
      <c r="T529" s="133"/>
      <c r="AA529" s="134"/>
      <c r="AT529" s="130" t="s">
        <v>168</v>
      </c>
      <c r="AU529" s="130" t="s">
        <v>102</v>
      </c>
      <c r="AV529" s="130" t="s">
        <v>102</v>
      </c>
      <c r="AW529" s="130" t="s">
        <v>112</v>
      </c>
      <c r="AX529" s="130" t="s">
        <v>16</v>
      </c>
      <c r="AY529" s="130" t="s">
        <v>161</v>
      </c>
    </row>
    <row r="530" spans="2:63" s="6" customFormat="1" ht="27" customHeight="1">
      <c r="B530" s="20"/>
      <c r="C530" s="117" t="s">
        <v>577</v>
      </c>
      <c r="D530" s="117" t="s">
        <v>162</v>
      </c>
      <c r="E530" s="118" t="s">
        <v>578</v>
      </c>
      <c r="F530" s="204" t="s">
        <v>579</v>
      </c>
      <c r="G530" s="205"/>
      <c r="H530" s="205"/>
      <c r="I530" s="205"/>
      <c r="J530" s="119" t="s">
        <v>245</v>
      </c>
      <c r="K530" s="120">
        <v>4.2</v>
      </c>
      <c r="L530" s="206">
        <v>0</v>
      </c>
      <c r="M530" s="205"/>
      <c r="N530" s="207">
        <f>ROUND($L$530*$K$530,2)</f>
        <v>0</v>
      </c>
      <c r="O530" s="205"/>
      <c r="P530" s="205"/>
      <c r="Q530" s="205"/>
      <c r="R530" s="21"/>
      <c r="T530" s="121"/>
      <c r="U530" s="27" t="s">
        <v>37</v>
      </c>
      <c r="V530" s="122">
        <v>0.575</v>
      </c>
      <c r="W530" s="122">
        <f>$V$530*$K$530</f>
        <v>2.415</v>
      </c>
      <c r="X530" s="122">
        <v>0</v>
      </c>
      <c r="Y530" s="122">
        <f>$X$530*$K$530</f>
        <v>0</v>
      </c>
      <c r="Z530" s="122">
        <v>0</v>
      </c>
      <c r="AA530" s="123">
        <f>$Z$530*$K$530</f>
        <v>0</v>
      </c>
      <c r="AR530" s="6" t="s">
        <v>221</v>
      </c>
      <c r="AT530" s="6" t="s">
        <v>162</v>
      </c>
      <c r="AU530" s="6" t="s">
        <v>102</v>
      </c>
      <c r="AY530" s="6" t="s">
        <v>161</v>
      </c>
      <c r="BE530" s="76">
        <f>IF($U$530="základní",$N$530,0)</f>
        <v>0</v>
      </c>
      <c r="BF530" s="76">
        <f>IF($U$530="snížená",$N$530,0)</f>
        <v>0</v>
      </c>
      <c r="BG530" s="76">
        <f>IF($U$530="zákl. přenesená",$N$530,0)</f>
        <v>0</v>
      </c>
      <c r="BH530" s="76">
        <f>IF($U$530="sníž. přenesená",$N$530,0)</f>
        <v>0</v>
      </c>
      <c r="BI530" s="76">
        <f>IF($U$530="nulová",$N$530,0)</f>
        <v>0</v>
      </c>
      <c r="BJ530" s="6" t="s">
        <v>16</v>
      </c>
      <c r="BK530" s="76">
        <f>ROUND($L$530*$K$530,2)</f>
        <v>0</v>
      </c>
    </row>
    <row r="531" spans="2:51" s="6" customFormat="1" ht="15.75" customHeight="1">
      <c r="B531" s="124"/>
      <c r="E531" s="125"/>
      <c r="F531" s="211" t="s">
        <v>219</v>
      </c>
      <c r="G531" s="212"/>
      <c r="H531" s="212"/>
      <c r="I531" s="212"/>
      <c r="K531" s="125"/>
      <c r="N531" s="125"/>
      <c r="R531" s="126"/>
      <c r="T531" s="127"/>
      <c r="AA531" s="128"/>
      <c r="AT531" s="125" t="s">
        <v>168</v>
      </c>
      <c r="AU531" s="125" t="s">
        <v>102</v>
      </c>
      <c r="AV531" s="125" t="s">
        <v>16</v>
      </c>
      <c r="AW531" s="125" t="s">
        <v>112</v>
      </c>
      <c r="AX531" s="125" t="s">
        <v>72</v>
      </c>
      <c r="AY531" s="125" t="s">
        <v>161</v>
      </c>
    </row>
    <row r="532" spans="2:51" s="6" customFormat="1" ht="15.75" customHeight="1">
      <c r="B532" s="124"/>
      <c r="E532" s="125"/>
      <c r="F532" s="211" t="s">
        <v>580</v>
      </c>
      <c r="G532" s="212"/>
      <c r="H532" s="212"/>
      <c r="I532" s="212"/>
      <c r="K532" s="125"/>
      <c r="N532" s="125"/>
      <c r="R532" s="126"/>
      <c r="T532" s="127"/>
      <c r="AA532" s="128"/>
      <c r="AT532" s="125" t="s">
        <v>168</v>
      </c>
      <c r="AU532" s="125" t="s">
        <v>102</v>
      </c>
      <c r="AV532" s="125" t="s">
        <v>16</v>
      </c>
      <c r="AW532" s="125" t="s">
        <v>112</v>
      </c>
      <c r="AX532" s="125" t="s">
        <v>72</v>
      </c>
      <c r="AY532" s="125" t="s">
        <v>161</v>
      </c>
    </row>
    <row r="533" spans="2:51" s="6" customFormat="1" ht="15.75" customHeight="1">
      <c r="B533" s="129"/>
      <c r="E533" s="130"/>
      <c r="F533" s="213" t="s">
        <v>581</v>
      </c>
      <c r="G533" s="214"/>
      <c r="H533" s="214"/>
      <c r="I533" s="214"/>
      <c r="K533" s="131">
        <v>4.2</v>
      </c>
      <c r="N533" s="130"/>
      <c r="R533" s="132"/>
      <c r="T533" s="133"/>
      <c r="AA533" s="134"/>
      <c r="AT533" s="130" t="s">
        <v>168</v>
      </c>
      <c r="AU533" s="130" t="s">
        <v>102</v>
      </c>
      <c r="AV533" s="130" t="s">
        <v>102</v>
      </c>
      <c r="AW533" s="130" t="s">
        <v>112</v>
      </c>
      <c r="AX533" s="130" t="s">
        <v>16</v>
      </c>
      <c r="AY533" s="130" t="s">
        <v>161</v>
      </c>
    </row>
    <row r="534" spans="2:63" s="6" customFormat="1" ht="15.75" customHeight="1">
      <c r="B534" s="20"/>
      <c r="C534" s="141" t="s">
        <v>582</v>
      </c>
      <c r="D534" s="141" t="s">
        <v>227</v>
      </c>
      <c r="E534" s="142" t="s">
        <v>571</v>
      </c>
      <c r="F534" s="217" t="s">
        <v>572</v>
      </c>
      <c r="G534" s="218"/>
      <c r="H534" s="218"/>
      <c r="I534" s="218"/>
      <c r="J534" s="143" t="s">
        <v>165</v>
      </c>
      <c r="K534" s="144">
        <v>0.111</v>
      </c>
      <c r="L534" s="219">
        <v>0</v>
      </c>
      <c r="M534" s="218"/>
      <c r="N534" s="220">
        <f>ROUND($L$534*$K$534,2)</f>
        <v>0</v>
      </c>
      <c r="O534" s="205"/>
      <c r="P534" s="205"/>
      <c r="Q534" s="205"/>
      <c r="R534" s="21"/>
      <c r="T534" s="121"/>
      <c r="U534" s="27" t="s">
        <v>37</v>
      </c>
      <c r="V534" s="122">
        <v>0</v>
      </c>
      <c r="W534" s="122">
        <f>$V$534*$K$534</f>
        <v>0</v>
      </c>
      <c r="X534" s="122">
        <v>0.55</v>
      </c>
      <c r="Y534" s="122">
        <f>$X$534*$K$534</f>
        <v>0.06105000000000001</v>
      </c>
      <c r="Z534" s="122">
        <v>0</v>
      </c>
      <c r="AA534" s="123">
        <f>$Z$534*$K$534</f>
        <v>0</v>
      </c>
      <c r="AR534" s="6" t="s">
        <v>291</v>
      </c>
      <c r="AT534" s="6" t="s">
        <v>227</v>
      </c>
      <c r="AU534" s="6" t="s">
        <v>102</v>
      </c>
      <c r="AY534" s="6" t="s">
        <v>161</v>
      </c>
      <c r="BE534" s="76">
        <f>IF($U$534="základní",$N$534,0)</f>
        <v>0</v>
      </c>
      <c r="BF534" s="76">
        <f>IF($U$534="snížená",$N$534,0)</f>
        <v>0</v>
      </c>
      <c r="BG534" s="76">
        <f>IF($U$534="zákl. přenesená",$N$534,0)</f>
        <v>0</v>
      </c>
      <c r="BH534" s="76">
        <f>IF($U$534="sníž. přenesená",$N$534,0)</f>
        <v>0</v>
      </c>
      <c r="BI534" s="76">
        <f>IF($U$534="nulová",$N$534,0)</f>
        <v>0</v>
      </c>
      <c r="BJ534" s="6" t="s">
        <v>16</v>
      </c>
      <c r="BK534" s="76">
        <f>ROUND($L$534*$K$534,2)</f>
        <v>0</v>
      </c>
    </row>
    <row r="535" spans="2:51" s="6" customFormat="1" ht="15.75" customHeight="1">
      <c r="B535" s="124"/>
      <c r="E535" s="125"/>
      <c r="F535" s="211" t="s">
        <v>219</v>
      </c>
      <c r="G535" s="212"/>
      <c r="H535" s="212"/>
      <c r="I535" s="212"/>
      <c r="K535" s="125"/>
      <c r="N535" s="125"/>
      <c r="R535" s="126"/>
      <c r="T535" s="127"/>
      <c r="AA535" s="128"/>
      <c r="AT535" s="125" t="s">
        <v>168</v>
      </c>
      <c r="AU535" s="125" t="s">
        <v>102</v>
      </c>
      <c r="AV535" s="125" t="s">
        <v>16</v>
      </c>
      <c r="AW535" s="125" t="s">
        <v>112</v>
      </c>
      <c r="AX535" s="125" t="s">
        <v>72</v>
      </c>
      <c r="AY535" s="125" t="s">
        <v>161</v>
      </c>
    </row>
    <row r="536" spans="2:51" s="6" customFormat="1" ht="15.75" customHeight="1">
      <c r="B536" s="124"/>
      <c r="E536" s="125"/>
      <c r="F536" s="211" t="s">
        <v>580</v>
      </c>
      <c r="G536" s="212"/>
      <c r="H536" s="212"/>
      <c r="I536" s="212"/>
      <c r="K536" s="125"/>
      <c r="N536" s="125"/>
      <c r="R536" s="126"/>
      <c r="T536" s="127"/>
      <c r="AA536" s="128"/>
      <c r="AT536" s="125" t="s">
        <v>168</v>
      </c>
      <c r="AU536" s="125" t="s">
        <v>102</v>
      </c>
      <c r="AV536" s="125" t="s">
        <v>16</v>
      </c>
      <c r="AW536" s="125" t="s">
        <v>112</v>
      </c>
      <c r="AX536" s="125" t="s">
        <v>72</v>
      </c>
      <c r="AY536" s="125" t="s">
        <v>161</v>
      </c>
    </row>
    <row r="537" spans="2:51" s="6" customFormat="1" ht="15.75" customHeight="1">
      <c r="B537" s="129"/>
      <c r="E537" s="130"/>
      <c r="F537" s="213" t="s">
        <v>583</v>
      </c>
      <c r="G537" s="214"/>
      <c r="H537" s="214"/>
      <c r="I537" s="214"/>
      <c r="K537" s="131">
        <v>0.111</v>
      </c>
      <c r="N537" s="130"/>
      <c r="R537" s="132"/>
      <c r="T537" s="133"/>
      <c r="AA537" s="134"/>
      <c r="AT537" s="130" t="s">
        <v>168</v>
      </c>
      <c r="AU537" s="130" t="s">
        <v>102</v>
      </c>
      <c r="AV537" s="130" t="s">
        <v>102</v>
      </c>
      <c r="AW537" s="130" t="s">
        <v>112</v>
      </c>
      <c r="AX537" s="130" t="s">
        <v>16</v>
      </c>
      <c r="AY537" s="130" t="s">
        <v>161</v>
      </c>
    </row>
    <row r="538" spans="2:63" s="6" customFormat="1" ht="27" customHeight="1">
      <c r="B538" s="20"/>
      <c r="C538" s="117" t="s">
        <v>21</v>
      </c>
      <c r="D538" s="117" t="s">
        <v>162</v>
      </c>
      <c r="E538" s="118" t="s">
        <v>584</v>
      </c>
      <c r="F538" s="204" t="s">
        <v>585</v>
      </c>
      <c r="G538" s="205"/>
      <c r="H538" s="205"/>
      <c r="I538" s="205"/>
      <c r="J538" s="119" t="s">
        <v>174</v>
      </c>
      <c r="K538" s="120">
        <v>45.566</v>
      </c>
      <c r="L538" s="206">
        <v>0</v>
      </c>
      <c r="M538" s="205"/>
      <c r="N538" s="207">
        <f>ROUND($L$538*$K$538,2)</f>
        <v>0</v>
      </c>
      <c r="O538" s="205"/>
      <c r="P538" s="205"/>
      <c r="Q538" s="205"/>
      <c r="R538" s="21"/>
      <c r="T538" s="121"/>
      <c r="U538" s="27" t="s">
        <v>37</v>
      </c>
      <c r="V538" s="122">
        <v>0.29</v>
      </c>
      <c r="W538" s="122">
        <f>$V$538*$K$538</f>
        <v>13.21414</v>
      </c>
      <c r="X538" s="122">
        <v>0</v>
      </c>
      <c r="Y538" s="122">
        <f>$X$538*$K$538</f>
        <v>0</v>
      </c>
      <c r="Z538" s="122">
        <v>0</v>
      </c>
      <c r="AA538" s="123">
        <f>$Z$538*$K$538</f>
        <v>0</v>
      </c>
      <c r="AR538" s="6" t="s">
        <v>221</v>
      </c>
      <c r="AT538" s="6" t="s">
        <v>162</v>
      </c>
      <c r="AU538" s="6" t="s">
        <v>102</v>
      </c>
      <c r="AY538" s="6" t="s">
        <v>161</v>
      </c>
      <c r="BE538" s="76">
        <f>IF($U$538="základní",$N$538,0)</f>
        <v>0</v>
      </c>
      <c r="BF538" s="76">
        <f>IF($U$538="snížená",$N$538,0)</f>
        <v>0</v>
      </c>
      <c r="BG538" s="76">
        <f>IF($U$538="zákl. přenesená",$N$538,0)</f>
        <v>0</v>
      </c>
      <c r="BH538" s="76">
        <f>IF($U$538="sníž. přenesená",$N$538,0)</f>
        <v>0</v>
      </c>
      <c r="BI538" s="76">
        <f>IF($U$538="nulová",$N$538,0)</f>
        <v>0</v>
      </c>
      <c r="BJ538" s="6" t="s">
        <v>16</v>
      </c>
      <c r="BK538" s="76">
        <f>ROUND($L$538*$K$538,2)</f>
        <v>0</v>
      </c>
    </row>
    <row r="539" spans="2:51" s="6" customFormat="1" ht="15.75" customHeight="1">
      <c r="B539" s="124"/>
      <c r="E539" s="125"/>
      <c r="F539" s="211" t="s">
        <v>219</v>
      </c>
      <c r="G539" s="212"/>
      <c r="H539" s="212"/>
      <c r="I539" s="212"/>
      <c r="K539" s="125"/>
      <c r="N539" s="125"/>
      <c r="R539" s="126"/>
      <c r="T539" s="127"/>
      <c r="AA539" s="128"/>
      <c r="AT539" s="125" t="s">
        <v>168</v>
      </c>
      <c r="AU539" s="125" t="s">
        <v>102</v>
      </c>
      <c r="AV539" s="125" t="s">
        <v>16</v>
      </c>
      <c r="AW539" s="125" t="s">
        <v>112</v>
      </c>
      <c r="AX539" s="125" t="s">
        <v>72</v>
      </c>
      <c r="AY539" s="125" t="s">
        <v>161</v>
      </c>
    </row>
    <row r="540" spans="2:51" s="6" customFormat="1" ht="15.75" customHeight="1">
      <c r="B540" s="129"/>
      <c r="E540" s="130"/>
      <c r="F540" s="213" t="s">
        <v>586</v>
      </c>
      <c r="G540" s="214"/>
      <c r="H540" s="214"/>
      <c r="I540" s="214"/>
      <c r="K540" s="131">
        <v>24.304</v>
      </c>
      <c r="N540" s="130"/>
      <c r="R540" s="132"/>
      <c r="T540" s="133"/>
      <c r="AA540" s="134"/>
      <c r="AT540" s="130" t="s">
        <v>168</v>
      </c>
      <c r="AU540" s="130" t="s">
        <v>102</v>
      </c>
      <c r="AV540" s="130" t="s">
        <v>102</v>
      </c>
      <c r="AW540" s="130" t="s">
        <v>112</v>
      </c>
      <c r="AX540" s="130" t="s">
        <v>72</v>
      </c>
      <c r="AY540" s="130" t="s">
        <v>161</v>
      </c>
    </row>
    <row r="541" spans="2:51" s="6" customFormat="1" ht="15.75" customHeight="1">
      <c r="B541" s="129"/>
      <c r="E541" s="130"/>
      <c r="F541" s="213" t="s">
        <v>587</v>
      </c>
      <c r="G541" s="214"/>
      <c r="H541" s="214"/>
      <c r="I541" s="214"/>
      <c r="K541" s="131">
        <v>21.262</v>
      </c>
      <c r="N541" s="130"/>
      <c r="R541" s="132"/>
      <c r="T541" s="133"/>
      <c r="AA541" s="134"/>
      <c r="AT541" s="130" t="s">
        <v>168</v>
      </c>
      <c r="AU541" s="130" t="s">
        <v>102</v>
      </c>
      <c r="AV541" s="130" t="s">
        <v>102</v>
      </c>
      <c r="AW541" s="130" t="s">
        <v>112</v>
      </c>
      <c r="AX541" s="130" t="s">
        <v>72</v>
      </c>
      <c r="AY541" s="130" t="s">
        <v>161</v>
      </c>
    </row>
    <row r="542" spans="2:51" s="6" customFormat="1" ht="15.75" customHeight="1">
      <c r="B542" s="135"/>
      <c r="E542" s="136"/>
      <c r="F542" s="215" t="s">
        <v>171</v>
      </c>
      <c r="G542" s="216"/>
      <c r="H542" s="216"/>
      <c r="I542" s="216"/>
      <c r="K542" s="137">
        <v>45.566</v>
      </c>
      <c r="N542" s="136"/>
      <c r="R542" s="138"/>
      <c r="T542" s="139"/>
      <c r="AA542" s="140"/>
      <c r="AT542" s="136" t="s">
        <v>168</v>
      </c>
      <c r="AU542" s="136" t="s">
        <v>102</v>
      </c>
      <c r="AV542" s="136" t="s">
        <v>166</v>
      </c>
      <c r="AW542" s="136" t="s">
        <v>112</v>
      </c>
      <c r="AX542" s="136" t="s">
        <v>16</v>
      </c>
      <c r="AY542" s="136" t="s">
        <v>161</v>
      </c>
    </row>
    <row r="543" spans="2:63" s="6" customFormat="1" ht="27" customHeight="1">
      <c r="B543" s="20"/>
      <c r="C543" s="141" t="s">
        <v>588</v>
      </c>
      <c r="D543" s="141" t="s">
        <v>227</v>
      </c>
      <c r="E543" s="142" t="s">
        <v>589</v>
      </c>
      <c r="F543" s="217" t="s">
        <v>590</v>
      </c>
      <c r="G543" s="218"/>
      <c r="H543" s="218"/>
      <c r="I543" s="218"/>
      <c r="J543" s="143" t="s">
        <v>165</v>
      </c>
      <c r="K543" s="144">
        <v>1.148</v>
      </c>
      <c r="L543" s="219">
        <v>0</v>
      </c>
      <c r="M543" s="218"/>
      <c r="N543" s="220">
        <f>ROUND($L$543*$K$543,2)</f>
        <v>0</v>
      </c>
      <c r="O543" s="205"/>
      <c r="P543" s="205"/>
      <c r="Q543" s="205"/>
      <c r="R543" s="21"/>
      <c r="T543" s="121"/>
      <c r="U543" s="27" t="s">
        <v>37</v>
      </c>
      <c r="V543" s="122">
        <v>0</v>
      </c>
      <c r="W543" s="122">
        <f>$V$543*$K$543</f>
        <v>0</v>
      </c>
      <c r="X543" s="122">
        <v>0.55</v>
      </c>
      <c r="Y543" s="122">
        <f>$X$543*$K$543</f>
        <v>0.6314</v>
      </c>
      <c r="Z543" s="122">
        <v>0</v>
      </c>
      <c r="AA543" s="123">
        <f>$Z$543*$K$543</f>
        <v>0</v>
      </c>
      <c r="AR543" s="6" t="s">
        <v>291</v>
      </c>
      <c r="AT543" s="6" t="s">
        <v>227</v>
      </c>
      <c r="AU543" s="6" t="s">
        <v>102</v>
      </c>
      <c r="AY543" s="6" t="s">
        <v>161</v>
      </c>
      <c r="BE543" s="76">
        <f>IF($U$543="základní",$N$543,0)</f>
        <v>0</v>
      </c>
      <c r="BF543" s="76">
        <f>IF($U$543="snížená",$N$543,0)</f>
        <v>0</v>
      </c>
      <c r="BG543" s="76">
        <f>IF($U$543="zákl. přenesená",$N$543,0)</f>
        <v>0</v>
      </c>
      <c r="BH543" s="76">
        <f>IF($U$543="sníž. přenesená",$N$543,0)</f>
        <v>0</v>
      </c>
      <c r="BI543" s="76">
        <f>IF($U$543="nulová",$N$543,0)</f>
        <v>0</v>
      </c>
      <c r="BJ543" s="6" t="s">
        <v>16</v>
      </c>
      <c r="BK543" s="76">
        <f>ROUND($L$543*$K$543,2)</f>
        <v>0</v>
      </c>
    </row>
    <row r="544" spans="2:51" s="6" customFormat="1" ht="15.75" customHeight="1">
      <c r="B544" s="129"/>
      <c r="E544" s="130"/>
      <c r="F544" s="213" t="s">
        <v>591</v>
      </c>
      <c r="G544" s="214"/>
      <c r="H544" s="214"/>
      <c r="I544" s="214"/>
      <c r="K544" s="131">
        <v>1.148</v>
      </c>
      <c r="N544" s="130"/>
      <c r="R544" s="132"/>
      <c r="T544" s="133"/>
      <c r="AA544" s="134"/>
      <c r="AT544" s="130" t="s">
        <v>168</v>
      </c>
      <c r="AU544" s="130" t="s">
        <v>102</v>
      </c>
      <c r="AV544" s="130" t="s">
        <v>102</v>
      </c>
      <c r="AW544" s="130" t="s">
        <v>112</v>
      </c>
      <c r="AX544" s="130" t="s">
        <v>16</v>
      </c>
      <c r="AY544" s="130" t="s">
        <v>161</v>
      </c>
    </row>
    <row r="545" spans="2:63" s="6" customFormat="1" ht="15.75" customHeight="1">
      <c r="B545" s="20"/>
      <c r="C545" s="117" t="s">
        <v>592</v>
      </c>
      <c r="D545" s="117" t="s">
        <v>162</v>
      </c>
      <c r="E545" s="118" t="s">
        <v>593</v>
      </c>
      <c r="F545" s="204" t="s">
        <v>594</v>
      </c>
      <c r="G545" s="205"/>
      <c r="H545" s="205"/>
      <c r="I545" s="205"/>
      <c r="J545" s="119" t="s">
        <v>174</v>
      </c>
      <c r="K545" s="120">
        <v>30.431</v>
      </c>
      <c r="L545" s="206">
        <v>0</v>
      </c>
      <c r="M545" s="205"/>
      <c r="N545" s="207">
        <f>ROUND($L$545*$K$545,2)</f>
        <v>0</v>
      </c>
      <c r="O545" s="205"/>
      <c r="P545" s="205"/>
      <c r="Q545" s="205"/>
      <c r="R545" s="21"/>
      <c r="T545" s="121"/>
      <c r="U545" s="27" t="s">
        <v>37</v>
      </c>
      <c r="V545" s="122">
        <v>0.09</v>
      </c>
      <c r="W545" s="122">
        <f>$V$545*$K$545</f>
        <v>2.73879</v>
      </c>
      <c r="X545" s="122">
        <v>0</v>
      </c>
      <c r="Y545" s="122">
        <f>$X$545*$K$545</f>
        <v>0</v>
      </c>
      <c r="Z545" s="122">
        <v>0.015</v>
      </c>
      <c r="AA545" s="123">
        <f>$Z$545*$K$545</f>
        <v>0.456465</v>
      </c>
      <c r="AR545" s="6" t="s">
        <v>221</v>
      </c>
      <c r="AT545" s="6" t="s">
        <v>162</v>
      </c>
      <c r="AU545" s="6" t="s">
        <v>102</v>
      </c>
      <c r="AY545" s="6" t="s">
        <v>161</v>
      </c>
      <c r="BE545" s="76">
        <f>IF($U$545="základní",$N$545,0)</f>
        <v>0</v>
      </c>
      <c r="BF545" s="76">
        <f>IF($U$545="snížená",$N$545,0)</f>
        <v>0</v>
      </c>
      <c r="BG545" s="76">
        <f>IF($U$545="zákl. přenesená",$N$545,0)</f>
        <v>0</v>
      </c>
      <c r="BH545" s="76">
        <f>IF($U$545="sníž. přenesená",$N$545,0)</f>
        <v>0</v>
      </c>
      <c r="BI545" s="76">
        <f>IF($U$545="nulová",$N$545,0)</f>
        <v>0</v>
      </c>
      <c r="BJ545" s="6" t="s">
        <v>16</v>
      </c>
      <c r="BK545" s="76">
        <f>ROUND($L$545*$K$545,2)</f>
        <v>0</v>
      </c>
    </row>
    <row r="546" spans="2:51" s="6" customFormat="1" ht="15.75" customHeight="1">
      <c r="B546" s="124"/>
      <c r="E546" s="125"/>
      <c r="F546" s="211" t="s">
        <v>219</v>
      </c>
      <c r="G546" s="212"/>
      <c r="H546" s="212"/>
      <c r="I546" s="212"/>
      <c r="K546" s="125"/>
      <c r="N546" s="125"/>
      <c r="R546" s="126"/>
      <c r="T546" s="127"/>
      <c r="AA546" s="128"/>
      <c r="AT546" s="125" t="s">
        <v>168</v>
      </c>
      <c r="AU546" s="125" t="s">
        <v>102</v>
      </c>
      <c r="AV546" s="125" t="s">
        <v>16</v>
      </c>
      <c r="AW546" s="125" t="s">
        <v>112</v>
      </c>
      <c r="AX546" s="125" t="s">
        <v>72</v>
      </c>
      <c r="AY546" s="125" t="s">
        <v>161</v>
      </c>
    </row>
    <row r="547" spans="2:51" s="6" customFormat="1" ht="15.75" customHeight="1">
      <c r="B547" s="124"/>
      <c r="E547" s="125"/>
      <c r="F547" s="211" t="s">
        <v>550</v>
      </c>
      <c r="G547" s="212"/>
      <c r="H547" s="212"/>
      <c r="I547" s="212"/>
      <c r="K547" s="125"/>
      <c r="N547" s="125"/>
      <c r="R547" s="126"/>
      <c r="T547" s="127"/>
      <c r="AA547" s="128"/>
      <c r="AT547" s="125" t="s">
        <v>168</v>
      </c>
      <c r="AU547" s="125" t="s">
        <v>102</v>
      </c>
      <c r="AV547" s="125" t="s">
        <v>16</v>
      </c>
      <c r="AW547" s="125" t="s">
        <v>112</v>
      </c>
      <c r="AX547" s="125" t="s">
        <v>72</v>
      </c>
      <c r="AY547" s="125" t="s">
        <v>161</v>
      </c>
    </row>
    <row r="548" spans="2:51" s="6" customFormat="1" ht="15.75" customHeight="1">
      <c r="B548" s="129"/>
      <c r="E548" s="130"/>
      <c r="F548" s="213" t="s">
        <v>595</v>
      </c>
      <c r="G548" s="214"/>
      <c r="H548" s="214"/>
      <c r="I548" s="214"/>
      <c r="K548" s="131">
        <v>17.404</v>
      </c>
      <c r="N548" s="130"/>
      <c r="R548" s="132"/>
      <c r="T548" s="133"/>
      <c r="AA548" s="134"/>
      <c r="AT548" s="130" t="s">
        <v>168</v>
      </c>
      <c r="AU548" s="130" t="s">
        <v>102</v>
      </c>
      <c r="AV548" s="130" t="s">
        <v>102</v>
      </c>
      <c r="AW548" s="130" t="s">
        <v>112</v>
      </c>
      <c r="AX548" s="130" t="s">
        <v>72</v>
      </c>
      <c r="AY548" s="130" t="s">
        <v>161</v>
      </c>
    </row>
    <row r="549" spans="2:51" s="6" customFormat="1" ht="15.75" customHeight="1">
      <c r="B549" s="129"/>
      <c r="E549" s="130"/>
      <c r="F549" s="213" t="s">
        <v>596</v>
      </c>
      <c r="G549" s="214"/>
      <c r="H549" s="214"/>
      <c r="I549" s="214"/>
      <c r="K549" s="131">
        <v>6.344</v>
      </c>
      <c r="N549" s="130"/>
      <c r="R549" s="132"/>
      <c r="T549" s="133"/>
      <c r="AA549" s="134"/>
      <c r="AT549" s="130" t="s">
        <v>168</v>
      </c>
      <c r="AU549" s="130" t="s">
        <v>102</v>
      </c>
      <c r="AV549" s="130" t="s">
        <v>102</v>
      </c>
      <c r="AW549" s="130" t="s">
        <v>112</v>
      </c>
      <c r="AX549" s="130" t="s">
        <v>72</v>
      </c>
      <c r="AY549" s="130" t="s">
        <v>161</v>
      </c>
    </row>
    <row r="550" spans="2:51" s="6" customFormat="1" ht="15.75" customHeight="1">
      <c r="B550" s="129"/>
      <c r="E550" s="130"/>
      <c r="F550" s="213" t="s">
        <v>597</v>
      </c>
      <c r="G550" s="214"/>
      <c r="H550" s="214"/>
      <c r="I550" s="214"/>
      <c r="K550" s="131">
        <v>6.683</v>
      </c>
      <c r="N550" s="130"/>
      <c r="R550" s="132"/>
      <c r="T550" s="133"/>
      <c r="AA550" s="134"/>
      <c r="AT550" s="130" t="s">
        <v>168</v>
      </c>
      <c r="AU550" s="130" t="s">
        <v>102</v>
      </c>
      <c r="AV550" s="130" t="s">
        <v>102</v>
      </c>
      <c r="AW550" s="130" t="s">
        <v>112</v>
      </c>
      <c r="AX550" s="130" t="s">
        <v>72</v>
      </c>
      <c r="AY550" s="130" t="s">
        <v>161</v>
      </c>
    </row>
    <row r="551" spans="2:51" s="6" customFormat="1" ht="15.75" customHeight="1">
      <c r="B551" s="135"/>
      <c r="E551" s="136"/>
      <c r="F551" s="215" t="s">
        <v>171</v>
      </c>
      <c r="G551" s="216"/>
      <c r="H551" s="216"/>
      <c r="I551" s="216"/>
      <c r="K551" s="137">
        <v>30.431</v>
      </c>
      <c r="N551" s="136"/>
      <c r="R551" s="138"/>
      <c r="T551" s="139"/>
      <c r="AA551" s="140"/>
      <c r="AT551" s="136" t="s">
        <v>168</v>
      </c>
      <c r="AU551" s="136" t="s">
        <v>102</v>
      </c>
      <c r="AV551" s="136" t="s">
        <v>166</v>
      </c>
      <c r="AW551" s="136" t="s">
        <v>112</v>
      </c>
      <c r="AX551" s="136" t="s">
        <v>16</v>
      </c>
      <c r="AY551" s="136" t="s">
        <v>161</v>
      </c>
    </row>
    <row r="552" spans="2:63" s="6" customFormat="1" ht="27" customHeight="1">
      <c r="B552" s="20"/>
      <c r="C552" s="117" t="s">
        <v>598</v>
      </c>
      <c r="D552" s="117" t="s">
        <v>162</v>
      </c>
      <c r="E552" s="118" t="s">
        <v>599</v>
      </c>
      <c r="F552" s="204" t="s">
        <v>600</v>
      </c>
      <c r="G552" s="205"/>
      <c r="H552" s="205"/>
      <c r="I552" s="205"/>
      <c r="J552" s="119" t="s">
        <v>165</v>
      </c>
      <c r="K552" s="120">
        <v>1.094</v>
      </c>
      <c r="L552" s="206">
        <v>0</v>
      </c>
      <c r="M552" s="205"/>
      <c r="N552" s="207">
        <f>ROUND($L$552*$K$552,2)</f>
        <v>0</v>
      </c>
      <c r="O552" s="205"/>
      <c r="P552" s="205"/>
      <c r="Q552" s="205"/>
      <c r="R552" s="21"/>
      <c r="T552" s="121"/>
      <c r="U552" s="27" t="s">
        <v>37</v>
      </c>
      <c r="V552" s="122">
        <v>0</v>
      </c>
      <c r="W552" s="122">
        <f>$V$552*$K$552</f>
        <v>0</v>
      </c>
      <c r="X552" s="122">
        <v>0.02431</v>
      </c>
      <c r="Y552" s="122">
        <f>$X$552*$K$552</f>
        <v>0.02659514</v>
      </c>
      <c r="Z552" s="122">
        <v>0</v>
      </c>
      <c r="AA552" s="123">
        <f>$Z$552*$K$552</f>
        <v>0</v>
      </c>
      <c r="AR552" s="6" t="s">
        <v>221</v>
      </c>
      <c r="AT552" s="6" t="s">
        <v>162</v>
      </c>
      <c r="AU552" s="6" t="s">
        <v>102</v>
      </c>
      <c r="AY552" s="6" t="s">
        <v>161</v>
      </c>
      <c r="BE552" s="76">
        <f>IF($U$552="základní",$N$552,0)</f>
        <v>0</v>
      </c>
      <c r="BF552" s="76">
        <f>IF($U$552="snížená",$N$552,0)</f>
        <v>0</v>
      </c>
      <c r="BG552" s="76">
        <f>IF($U$552="zákl. přenesená",$N$552,0)</f>
        <v>0</v>
      </c>
      <c r="BH552" s="76">
        <f>IF($U$552="sníž. přenesená",$N$552,0)</f>
        <v>0</v>
      </c>
      <c r="BI552" s="76">
        <f>IF($U$552="nulová",$N$552,0)</f>
        <v>0</v>
      </c>
      <c r="BJ552" s="6" t="s">
        <v>16</v>
      </c>
      <c r="BK552" s="76">
        <f>ROUND($L$552*$K$552,2)</f>
        <v>0</v>
      </c>
    </row>
    <row r="553" spans="2:51" s="6" customFormat="1" ht="15.75" customHeight="1">
      <c r="B553" s="129"/>
      <c r="E553" s="130"/>
      <c r="F553" s="213" t="s">
        <v>543</v>
      </c>
      <c r="G553" s="214"/>
      <c r="H553" s="214"/>
      <c r="I553" s="214"/>
      <c r="K553" s="131">
        <v>1.094</v>
      </c>
      <c r="N553" s="130"/>
      <c r="R553" s="132"/>
      <c r="T553" s="133"/>
      <c r="AA553" s="134"/>
      <c r="AT553" s="130" t="s">
        <v>168</v>
      </c>
      <c r="AU553" s="130" t="s">
        <v>102</v>
      </c>
      <c r="AV553" s="130" t="s">
        <v>102</v>
      </c>
      <c r="AW553" s="130" t="s">
        <v>112</v>
      </c>
      <c r="AX553" s="130" t="s">
        <v>16</v>
      </c>
      <c r="AY553" s="130" t="s">
        <v>161</v>
      </c>
    </row>
    <row r="554" spans="2:63" s="6" customFormat="1" ht="27" customHeight="1">
      <c r="B554" s="20"/>
      <c r="C554" s="117" t="s">
        <v>601</v>
      </c>
      <c r="D554" s="117" t="s">
        <v>162</v>
      </c>
      <c r="E554" s="118" t="s">
        <v>602</v>
      </c>
      <c r="F554" s="204" t="s">
        <v>603</v>
      </c>
      <c r="G554" s="205"/>
      <c r="H554" s="205"/>
      <c r="I554" s="205"/>
      <c r="J554" s="119" t="s">
        <v>174</v>
      </c>
      <c r="K554" s="120">
        <v>27.834</v>
      </c>
      <c r="L554" s="206">
        <v>0</v>
      </c>
      <c r="M554" s="205"/>
      <c r="N554" s="207">
        <f>ROUND($L$554*$K$554,2)</f>
        <v>0</v>
      </c>
      <c r="O554" s="205"/>
      <c r="P554" s="205"/>
      <c r="Q554" s="205"/>
      <c r="R554" s="21"/>
      <c r="T554" s="121"/>
      <c r="U554" s="27" t="s">
        <v>37</v>
      </c>
      <c r="V554" s="122">
        <v>0.08</v>
      </c>
      <c r="W554" s="122">
        <f>$V$554*$K$554</f>
        <v>2.22672</v>
      </c>
      <c r="X554" s="122">
        <v>0</v>
      </c>
      <c r="Y554" s="122">
        <f>$X$554*$K$554</f>
        <v>0</v>
      </c>
      <c r="Z554" s="122">
        <v>0.014</v>
      </c>
      <c r="AA554" s="123">
        <f>$Z$554*$K$554</f>
        <v>0.389676</v>
      </c>
      <c r="AR554" s="6" t="s">
        <v>221</v>
      </c>
      <c r="AT554" s="6" t="s">
        <v>162</v>
      </c>
      <c r="AU554" s="6" t="s">
        <v>102</v>
      </c>
      <c r="AY554" s="6" t="s">
        <v>161</v>
      </c>
      <c r="BE554" s="76">
        <f>IF($U$554="základní",$N$554,0)</f>
        <v>0</v>
      </c>
      <c r="BF554" s="76">
        <f>IF($U$554="snížená",$N$554,0)</f>
        <v>0</v>
      </c>
      <c r="BG554" s="76">
        <f>IF($U$554="zákl. přenesená",$N$554,0)</f>
        <v>0</v>
      </c>
      <c r="BH554" s="76">
        <f>IF($U$554="sníž. přenesená",$N$554,0)</f>
        <v>0</v>
      </c>
      <c r="BI554" s="76">
        <f>IF($U$554="nulová",$N$554,0)</f>
        <v>0</v>
      </c>
      <c r="BJ554" s="6" t="s">
        <v>16</v>
      </c>
      <c r="BK554" s="76">
        <f>ROUND($L$554*$K$554,2)</f>
        <v>0</v>
      </c>
    </row>
    <row r="555" spans="2:51" s="6" customFormat="1" ht="15.75" customHeight="1">
      <c r="B555" s="124"/>
      <c r="E555" s="125"/>
      <c r="F555" s="211" t="s">
        <v>219</v>
      </c>
      <c r="G555" s="212"/>
      <c r="H555" s="212"/>
      <c r="I555" s="212"/>
      <c r="K555" s="125"/>
      <c r="N555" s="125"/>
      <c r="R555" s="126"/>
      <c r="T555" s="127"/>
      <c r="AA555" s="128"/>
      <c r="AT555" s="125" t="s">
        <v>168</v>
      </c>
      <c r="AU555" s="125" t="s">
        <v>102</v>
      </c>
      <c r="AV555" s="125" t="s">
        <v>16</v>
      </c>
      <c r="AW555" s="125" t="s">
        <v>112</v>
      </c>
      <c r="AX555" s="125" t="s">
        <v>72</v>
      </c>
      <c r="AY555" s="125" t="s">
        <v>161</v>
      </c>
    </row>
    <row r="556" spans="2:51" s="6" customFormat="1" ht="15.75" customHeight="1">
      <c r="B556" s="124"/>
      <c r="E556" s="125"/>
      <c r="F556" s="211" t="s">
        <v>437</v>
      </c>
      <c r="G556" s="212"/>
      <c r="H556" s="212"/>
      <c r="I556" s="212"/>
      <c r="K556" s="125"/>
      <c r="N556" s="125"/>
      <c r="R556" s="126"/>
      <c r="T556" s="127"/>
      <c r="AA556" s="128"/>
      <c r="AT556" s="125" t="s">
        <v>168</v>
      </c>
      <c r="AU556" s="125" t="s">
        <v>102</v>
      </c>
      <c r="AV556" s="125" t="s">
        <v>16</v>
      </c>
      <c r="AW556" s="125" t="s">
        <v>112</v>
      </c>
      <c r="AX556" s="125" t="s">
        <v>72</v>
      </c>
      <c r="AY556" s="125" t="s">
        <v>161</v>
      </c>
    </row>
    <row r="557" spans="2:51" s="6" customFormat="1" ht="15.75" customHeight="1">
      <c r="B557" s="124"/>
      <c r="E557" s="125"/>
      <c r="F557" s="211" t="s">
        <v>436</v>
      </c>
      <c r="G557" s="212"/>
      <c r="H557" s="212"/>
      <c r="I557" s="212"/>
      <c r="K557" s="125"/>
      <c r="N557" s="125"/>
      <c r="R557" s="126"/>
      <c r="T557" s="127"/>
      <c r="AA557" s="128"/>
      <c r="AT557" s="125" t="s">
        <v>168</v>
      </c>
      <c r="AU557" s="125" t="s">
        <v>102</v>
      </c>
      <c r="AV557" s="125" t="s">
        <v>16</v>
      </c>
      <c r="AW557" s="125" t="s">
        <v>112</v>
      </c>
      <c r="AX557" s="125" t="s">
        <v>72</v>
      </c>
      <c r="AY557" s="125" t="s">
        <v>161</v>
      </c>
    </row>
    <row r="558" spans="2:51" s="6" customFormat="1" ht="15.75" customHeight="1">
      <c r="B558" s="124"/>
      <c r="E558" s="125"/>
      <c r="F558" s="211" t="s">
        <v>437</v>
      </c>
      <c r="G558" s="212"/>
      <c r="H558" s="212"/>
      <c r="I558" s="212"/>
      <c r="K558" s="125"/>
      <c r="N558" s="125"/>
      <c r="R558" s="126"/>
      <c r="T558" s="127"/>
      <c r="AA558" s="128"/>
      <c r="AT558" s="125" t="s">
        <v>168</v>
      </c>
      <c r="AU558" s="125" t="s">
        <v>102</v>
      </c>
      <c r="AV558" s="125" t="s">
        <v>16</v>
      </c>
      <c r="AW558" s="125" t="s">
        <v>112</v>
      </c>
      <c r="AX558" s="125" t="s">
        <v>72</v>
      </c>
      <c r="AY558" s="125" t="s">
        <v>161</v>
      </c>
    </row>
    <row r="559" spans="2:51" s="6" customFormat="1" ht="15.75" customHeight="1">
      <c r="B559" s="129"/>
      <c r="E559" s="130"/>
      <c r="F559" s="213" t="s">
        <v>474</v>
      </c>
      <c r="G559" s="214"/>
      <c r="H559" s="214"/>
      <c r="I559" s="214"/>
      <c r="K559" s="131">
        <v>14.084</v>
      </c>
      <c r="N559" s="130"/>
      <c r="R559" s="132"/>
      <c r="T559" s="133"/>
      <c r="AA559" s="134"/>
      <c r="AT559" s="130" t="s">
        <v>168</v>
      </c>
      <c r="AU559" s="130" t="s">
        <v>102</v>
      </c>
      <c r="AV559" s="130" t="s">
        <v>102</v>
      </c>
      <c r="AW559" s="130" t="s">
        <v>112</v>
      </c>
      <c r="AX559" s="130" t="s">
        <v>72</v>
      </c>
      <c r="AY559" s="130" t="s">
        <v>161</v>
      </c>
    </row>
    <row r="560" spans="2:51" s="6" customFormat="1" ht="15.75" customHeight="1">
      <c r="B560" s="129"/>
      <c r="E560" s="130"/>
      <c r="F560" s="213" t="s">
        <v>475</v>
      </c>
      <c r="G560" s="214"/>
      <c r="H560" s="214"/>
      <c r="I560" s="214"/>
      <c r="K560" s="131">
        <v>1.62</v>
      </c>
      <c r="N560" s="130"/>
      <c r="R560" s="132"/>
      <c r="T560" s="133"/>
      <c r="AA560" s="134"/>
      <c r="AT560" s="130" t="s">
        <v>168</v>
      </c>
      <c r="AU560" s="130" t="s">
        <v>102</v>
      </c>
      <c r="AV560" s="130" t="s">
        <v>102</v>
      </c>
      <c r="AW560" s="130" t="s">
        <v>112</v>
      </c>
      <c r="AX560" s="130" t="s">
        <v>72</v>
      </c>
      <c r="AY560" s="130" t="s">
        <v>161</v>
      </c>
    </row>
    <row r="561" spans="2:51" s="6" customFormat="1" ht="15.75" customHeight="1">
      <c r="B561" s="129"/>
      <c r="E561" s="130"/>
      <c r="F561" s="213" t="s">
        <v>476</v>
      </c>
      <c r="G561" s="214"/>
      <c r="H561" s="214"/>
      <c r="I561" s="214"/>
      <c r="K561" s="131">
        <v>3.6</v>
      </c>
      <c r="N561" s="130"/>
      <c r="R561" s="132"/>
      <c r="T561" s="133"/>
      <c r="AA561" s="134"/>
      <c r="AT561" s="130" t="s">
        <v>168</v>
      </c>
      <c r="AU561" s="130" t="s">
        <v>102</v>
      </c>
      <c r="AV561" s="130" t="s">
        <v>102</v>
      </c>
      <c r="AW561" s="130" t="s">
        <v>112</v>
      </c>
      <c r="AX561" s="130" t="s">
        <v>72</v>
      </c>
      <c r="AY561" s="130" t="s">
        <v>161</v>
      </c>
    </row>
    <row r="562" spans="2:51" s="6" customFormat="1" ht="15.75" customHeight="1">
      <c r="B562" s="129"/>
      <c r="E562" s="130"/>
      <c r="F562" s="213" t="s">
        <v>477</v>
      </c>
      <c r="G562" s="214"/>
      <c r="H562" s="214"/>
      <c r="I562" s="214"/>
      <c r="K562" s="131">
        <v>3.45</v>
      </c>
      <c r="N562" s="130"/>
      <c r="R562" s="132"/>
      <c r="T562" s="133"/>
      <c r="AA562" s="134"/>
      <c r="AT562" s="130" t="s">
        <v>168</v>
      </c>
      <c r="AU562" s="130" t="s">
        <v>102</v>
      </c>
      <c r="AV562" s="130" t="s">
        <v>102</v>
      </c>
      <c r="AW562" s="130" t="s">
        <v>112</v>
      </c>
      <c r="AX562" s="130" t="s">
        <v>72</v>
      </c>
      <c r="AY562" s="130" t="s">
        <v>161</v>
      </c>
    </row>
    <row r="563" spans="2:51" s="6" customFormat="1" ht="15.75" customHeight="1">
      <c r="B563" s="129"/>
      <c r="E563" s="130"/>
      <c r="F563" s="213" t="s">
        <v>478</v>
      </c>
      <c r="G563" s="214"/>
      <c r="H563" s="214"/>
      <c r="I563" s="214"/>
      <c r="K563" s="131">
        <v>4.64</v>
      </c>
      <c r="N563" s="130"/>
      <c r="R563" s="132"/>
      <c r="T563" s="133"/>
      <c r="AA563" s="134"/>
      <c r="AT563" s="130" t="s">
        <v>168</v>
      </c>
      <c r="AU563" s="130" t="s">
        <v>102</v>
      </c>
      <c r="AV563" s="130" t="s">
        <v>102</v>
      </c>
      <c r="AW563" s="130" t="s">
        <v>112</v>
      </c>
      <c r="AX563" s="130" t="s">
        <v>72</v>
      </c>
      <c r="AY563" s="130" t="s">
        <v>161</v>
      </c>
    </row>
    <row r="564" spans="2:51" s="6" customFormat="1" ht="15.75" customHeight="1">
      <c r="B564" s="129"/>
      <c r="E564" s="130"/>
      <c r="F564" s="213" t="s">
        <v>443</v>
      </c>
      <c r="G564" s="214"/>
      <c r="H564" s="214"/>
      <c r="I564" s="214"/>
      <c r="K564" s="131">
        <v>0.44</v>
      </c>
      <c r="N564" s="130"/>
      <c r="R564" s="132"/>
      <c r="T564" s="133"/>
      <c r="AA564" s="134"/>
      <c r="AT564" s="130" t="s">
        <v>168</v>
      </c>
      <c r="AU564" s="130" t="s">
        <v>102</v>
      </c>
      <c r="AV564" s="130" t="s">
        <v>102</v>
      </c>
      <c r="AW564" s="130" t="s">
        <v>112</v>
      </c>
      <c r="AX564" s="130" t="s">
        <v>72</v>
      </c>
      <c r="AY564" s="130" t="s">
        <v>161</v>
      </c>
    </row>
    <row r="565" spans="2:51" s="6" customFormat="1" ht="15.75" customHeight="1">
      <c r="B565" s="135"/>
      <c r="E565" s="136"/>
      <c r="F565" s="215" t="s">
        <v>171</v>
      </c>
      <c r="G565" s="216"/>
      <c r="H565" s="216"/>
      <c r="I565" s="216"/>
      <c r="K565" s="137">
        <v>27.834</v>
      </c>
      <c r="N565" s="136"/>
      <c r="R565" s="138"/>
      <c r="T565" s="139"/>
      <c r="AA565" s="140"/>
      <c r="AT565" s="136" t="s">
        <v>168</v>
      </c>
      <c r="AU565" s="136" t="s">
        <v>102</v>
      </c>
      <c r="AV565" s="136" t="s">
        <v>166</v>
      </c>
      <c r="AW565" s="136" t="s">
        <v>112</v>
      </c>
      <c r="AX565" s="136" t="s">
        <v>16</v>
      </c>
      <c r="AY565" s="136" t="s">
        <v>161</v>
      </c>
    </row>
    <row r="566" spans="2:63" s="6" customFormat="1" ht="27" customHeight="1">
      <c r="B566" s="20"/>
      <c r="C566" s="117" t="s">
        <v>604</v>
      </c>
      <c r="D566" s="117" t="s">
        <v>162</v>
      </c>
      <c r="E566" s="118" t="s">
        <v>605</v>
      </c>
      <c r="F566" s="204" t="s">
        <v>606</v>
      </c>
      <c r="G566" s="205"/>
      <c r="H566" s="205"/>
      <c r="I566" s="205"/>
      <c r="J566" s="119" t="s">
        <v>245</v>
      </c>
      <c r="K566" s="120">
        <v>49.2</v>
      </c>
      <c r="L566" s="206">
        <v>0</v>
      </c>
      <c r="M566" s="205"/>
      <c r="N566" s="207">
        <f>ROUND($L$566*$K$566,2)</f>
        <v>0</v>
      </c>
      <c r="O566" s="205"/>
      <c r="P566" s="205"/>
      <c r="Q566" s="205"/>
      <c r="R566" s="21"/>
      <c r="T566" s="121"/>
      <c r="U566" s="27" t="s">
        <v>37</v>
      </c>
      <c r="V566" s="122">
        <v>0.126</v>
      </c>
      <c r="W566" s="122">
        <f>$V$566*$K$566</f>
        <v>6.1992</v>
      </c>
      <c r="X566" s="122">
        <v>0</v>
      </c>
      <c r="Y566" s="122">
        <f>$X$566*$K$566</f>
        <v>0</v>
      </c>
      <c r="Z566" s="122">
        <v>0.017</v>
      </c>
      <c r="AA566" s="123">
        <f>$Z$566*$K$566</f>
        <v>0.8364000000000001</v>
      </c>
      <c r="AR566" s="6" t="s">
        <v>221</v>
      </c>
      <c r="AT566" s="6" t="s">
        <v>162</v>
      </c>
      <c r="AU566" s="6" t="s">
        <v>102</v>
      </c>
      <c r="AY566" s="6" t="s">
        <v>161</v>
      </c>
      <c r="BE566" s="76">
        <f>IF($U$566="základní",$N$566,0)</f>
        <v>0</v>
      </c>
      <c r="BF566" s="76">
        <f>IF($U$566="snížená",$N$566,0)</f>
        <v>0</v>
      </c>
      <c r="BG566" s="76">
        <f>IF($U$566="zákl. přenesená",$N$566,0)</f>
        <v>0</v>
      </c>
      <c r="BH566" s="76">
        <f>IF($U$566="sníž. přenesená",$N$566,0)</f>
        <v>0</v>
      </c>
      <c r="BI566" s="76">
        <f>IF($U$566="nulová",$N$566,0)</f>
        <v>0</v>
      </c>
      <c r="BJ566" s="6" t="s">
        <v>16</v>
      </c>
      <c r="BK566" s="76">
        <f>ROUND($L$566*$K$566,2)</f>
        <v>0</v>
      </c>
    </row>
    <row r="567" spans="2:51" s="6" customFormat="1" ht="15.75" customHeight="1">
      <c r="B567" s="129"/>
      <c r="E567" s="130"/>
      <c r="F567" s="213" t="s">
        <v>607</v>
      </c>
      <c r="G567" s="214"/>
      <c r="H567" s="214"/>
      <c r="I567" s="214"/>
      <c r="K567" s="131">
        <v>49.2</v>
      </c>
      <c r="N567" s="130"/>
      <c r="R567" s="132"/>
      <c r="T567" s="133"/>
      <c r="AA567" s="134"/>
      <c r="AT567" s="130" t="s">
        <v>168</v>
      </c>
      <c r="AU567" s="130" t="s">
        <v>102</v>
      </c>
      <c r="AV567" s="130" t="s">
        <v>102</v>
      </c>
      <c r="AW567" s="130" t="s">
        <v>112</v>
      </c>
      <c r="AX567" s="130" t="s">
        <v>16</v>
      </c>
      <c r="AY567" s="130" t="s">
        <v>161</v>
      </c>
    </row>
    <row r="568" spans="2:63" s="6" customFormat="1" ht="27" customHeight="1">
      <c r="B568" s="20"/>
      <c r="C568" s="117" t="s">
        <v>608</v>
      </c>
      <c r="D568" s="117" t="s">
        <v>162</v>
      </c>
      <c r="E568" s="118" t="s">
        <v>609</v>
      </c>
      <c r="F568" s="204" t="s">
        <v>610</v>
      </c>
      <c r="G568" s="205"/>
      <c r="H568" s="205"/>
      <c r="I568" s="205"/>
      <c r="J568" s="119" t="s">
        <v>174</v>
      </c>
      <c r="K568" s="120">
        <v>27.834</v>
      </c>
      <c r="L568" s="206">
        <v>0</v>
      </c>
      <c r="M568" s="205"/>
      <c r="N568" s="207">
        <f>ROUND($L$568*$K$568,2)</f>
        <v>0</v>
      </c>
      <c r="O568" s="205"/>
      <c r="P568" s="205"/>
      <c r="Q568" s="205"/>
      <c r="R568" s="21"/>
      <c r="T568" s="121"/>
      <c r="U568" s="27" t="s">
        <v>37</v>
      </c>
      <c r="V568" s="122">
        <v>0.106</v>
      </c>
      <c r="W568" s="122">
        <f>$V$568*$K$568</f>
        <v>2.950404</v>
      </c>
      <c r="X568" s="122">
        <v>0</v>
      </c>
      <c r="Y568" s="122">
        <f>$X$568*$K$568</f>
        <v>0</v>
      </c>
      <c r="Z568" s="122">
        <v>0.014</v>
      </c>
      <c r="AA568" s="123">
        <f>$Z$568*$K$568</f>
        <v>0.389676</v>
      </c>
      <c r="AR568" s="6" t="s">
        <v>221</v>
      </c>
      <c r="AT568" s="6" t="s">
        <v>162</v>
      </c>
      <c r="AU568" s="6" t="s">
        <v>102</v>
      </c>
      <c r="AY568" s="6" t="s">
        <v>161</v>
      </c>
      <c r="BE568" s="76">
        <f>IF($U$568="základní",$N$568,0)</f>
        <v>0</v>
      </c>
      <c r="BF568" s="76">
        <f>IF($U$568="snížená",$N$568,0)</f>
        <v>0</v>
      </c>
      <c r="BG568" s="76">
        <f>IF($U$568="zákl. přenesená",$N$568,0)</f>
        <v>0</v>
      </c>
      <c r="BH568" s="76">
        <f>IF($U$568="sníž. přenesená",$N$568,0)</f>
        <v>0</v>
      </c>
      <c r="BI568" s="76">
        <f>IF($U$568="nulová",$N$568,0)</f>
        <v>0</v>
      </c>
      <c r="BJ568" s="6" t="s">
        <v>16</v>
      </c>
      <c r="BK568" s="76">
        <f>ROUND($L$568*$K$568,2)</f>
        <v>0</v>
      </c>
    </row>
    <row r="569" spans="2:51" s="6" customFormat="1" ht="15.75" customHeight="1">
      <c r="B569" s="124"/>
      <c r="E569" s="125"/>
      <c r="F569" s="211" t="s">
        <v>219</v>
      </c>
      <c r="G569" s="212"/>
      <c r="H569" s="212"/>
      <c r="I569" s="212"/>
      <c r="K569" s="125"/>
      <c r="N569" s="125"/>
      <c r="R569" s="126"/>
      <c r="T569" s="127"/>
      <c r="AA569" s="128"/>
      <c r="AT569" s="125" t="s">
        <v>168</v>
      </c>
      <c r="AU569" s="125" t="s">
        <v>102</v>
      </c>
      <c r="AV569" s="125" t="s">
        <v>16</v>
      </c>
      <c r="AW569" s="125" t="s">
        <v>112</v>
      </c>
      <c r="AX569" s="125" t="s">
        <v>72</v>
      </c>
      <c r="AY569" s="125" t="s">
        <v>161</v>
      </c>
    </row>
    <row r="570" spans="2:51" s="6" customFormat="1" ht="15.75" customHeight="1">
      <c r="B570" s="124"/>
      <c r="E570" s="125"/>
      <c r="F570" s="211" t="s">
        <v>437</v>
      </c>
      <c r="G570" s="212"/>
      <c r="H570" s="212"/>
      <c r="I570" s="212"/>
      <c r="K570" s="125"/>
      <c r="N570" s="125"/>
      <c r="R570" s="126"/>
      <c r="T570" s="127"/>
      <c r="AA570" s="128"/>
      <c r="AT570" s="125" t="s">
        <v>168</v>
      </c>
      <c r="AU570" s="125" t="s">
        <v>102</v>
      </c>
      <c r="AV570" s="125" t="s">
        <v>16</v>
      </c>
      <c r="AW570" s="125" t="s">
        <v>112</v>
      </c>
      <c r="AX570" s="125" t="s">
        <v>72</v>
      </c>
      <c r="AY570" s="125" t="s">
        <v>161</v>
      </c>
    </row>
    <row r="571" spans="2:51" s="6" customFormat="1" ht="15.75" customHeight="1">
      <c r="B571" s="124"/>
      <c r="E571" s="125"/>
      <c r="F571" s="211" t="s">
        <v>436</v>
      </c>
      <c r="G571" s="212"/>
      <c r="H571" s="212"/>
      <c r="I571" s="212"/>
      <c r="K571" s="125"/>
      <c r="N571" s="125"/>
      <c r="R571" s="126"/>
      <c r="T571" s="127"/>
      <c r="AA571" s="128"/>
      <c r="AT571" s="125" t="s">
        <v>168</v>
      </c>
      <c r="AU571" s="125" t="s">
        <v>102</v>
      </c>
      <c r="AV571" s="125" t="s">
        <v>16</v>
      </c>
      <c r="AW571" s="125" t="s">
        <v>112</v>
      </c>
      <c r="AX571" s="125" t="s">
        <v>72</v>
      </c>
      <c r="AY571" s="125" t="s">
        <v>161</v>
      </c>
    </row>
    <row r="572" spans="2:51" s="6" customFormat="1" ht="15.75" customHeight="1">
      <c r="B572" s="124"/>
      <c r="E572" s="125"/>
      <c r="F572" s="211" t="s">
        <v>437</v>
      </c>
      <c r="G572" s="212"/>
      <c r="H572" s="212"/>
      <c r="I572" s="212"/>
      <c r="K572" s="125"/>
      <c r="N572" s="125"/>
      <c r="R572" s="126"/>
      <c r="T572" s="127"/>
      <c r="AA572" s="128"/>
      <c r="AT572" s="125" t="s">
        <v>168</v>
      </c>
      <c r="AU572" s="125" t="s">
        <v>102</v>
      </c>
      <c r="AV572" s="125" t="s">
        <v>16</v>
      </c>
      <c r="AW572" s="125" t="s">
        <v>112</v>
      </c>
      <c r="AX572" s="125" t="s">
        <v>72</v>
      </c>
      <c r="AY572" s="125" t="s">
        <v>161</v>
      </c>
    </row>
    <row r="573" spans="2:51" s="6" customFormat="1" ht="15.75" customHeight="1">
      <c r="B573" s="129"/>
      <c r="E573" s="130"/>
      <c r="F573" s="213" t="s">
        <v>474</v>
      </c>
      <c r="G573" s="214"/>
      <c r="H573" s="214"/>
      <c r="I573" s="214"/>
      <c r="K573" s="131">
        <v>14.084</v>
      </c>
      <c r="N573" s="130"/>
      <c r="R573" s="132"/>
      <c r="T573" s="133"/>
      <c r="AA573" s="134"/>
      <c r="AT573" s="130" t="s">
        <v>168</v>
      </c>
      <c r="AU573" s="130" t="s">
        <v>102</v>
      </c>
      <c r="AV573" s="130" t="s">
        <v>102</v>
      </c>
      <c r="AW573" s="130" t="s">
        <v>112</v>
      </c>
      <c r="AX573" s="130" t="s">
        <v>72</v>
      </c>
      <c r="AY573" s="130" t="s">
        <v>161</v>
      </c>
    </row>
    <row r="574" spans="2:51" s="6" customFormat="1" ht="15.75" customHeight="1">
      <c r="B574" s="129"/>
      <c r="E574" s="130"/>
      <c r="F574" s="213" t="s">
        <v>475</v>
      </c>
      <c r="G574" s="214"/>
      <c r="H574" s="214"/>
      <c r="I574" s="214"/>
      <c r="K574" s="131">
        <v>1.62</v>
      </c>
      <c r="N574" s="130"/>
      <c r="R574" s="132"/>
      <c r="T574" s="133"/>
      <c r="AA574" s="134"/>
      <c r="AT574" s="130" t="s">
        <v>168</v>
      </c>
      <c r="AU574" s="130" t="s">
        <v>102</v>
      </c>
      <c r="AV574" s="130" t="s">
        <v>102</v>
      </c>
      <c r="AW574" s="130" t="s">
        <v>112</v>
      </c>
      <c r="AX574" s="130" t="s">
        <v>72</v>
      </c>
      <c r="AY574" s="130" t="s">
        <v>161</v>
      </c>
    </row>
    <row r="575" spans="2:51" s="6" customFormat="1" ht="15.75" customHeight="1">
      <c r="B575" s="129"/>
      <c r="E575" s="130"/>
      <c r="F575" s="213" t="s">
        <v>476</v>
      </c>
      <c r="G575" s="214"/>
      <c r="H575" s="214"/>
      <c r="I575" s="214"/>
      <c r="K575" s="131">
        <v>3.6</v>
      </c>
      <c r="N575" s="130"/>
      <c r="R575" s="132"/>
      <c r="T575" s="133"/>
      <c r="AA575" s="134"/>
      <c r="AT575" s="130" t="s">
        <v>168</v>
      </c>
      <c r="AU575" s="130" t="s">
        <v>102</v>
      </c>
      <c r="AV575" s="130" t="s">
        <v>102</v>
      </c>
      <c r="AW575" s="130" t="s">
        <v>112</v>
      </c>
      <c r="AX575" s="130" t="s">
        <v>72</v>
      </c>
      <c r="AY575" s="130" t="s">
        <v>161</v>
      </c>
    </row>
    <row r="576" spans="2:51" s="6" customFormat="1" ht="15.75" customHeight="1">
      <c r="B576" s="129"/>
      <c r="E576" s="130"/>
      <c r="F576" s="213" t="s">
        <v>477</v>
      </c>
      <c r="G576" s="214"/>
      <c r="H576" s="214"/>
      <c r="I576" s="214"/>
      <c r="K576" s="131">
        <v>3.45</v>
      </c>
      <c r="N576" s="130"/>
      <c r="R576" s="132"/>
      <c r="T576" s="133"/>
      <c r="AA576" s="134"/>
      <c r="AT576" s="130" t="s">
        <v>168</v>
      </c>
      <c r="AU576" s="130" t="s">
        <v>102</v>
      </c>
      <c r="AV576" s="130" t="s">
        <v>102</v>
      </c>
      <c r="AW576" s="130" t="s">
        <v>112</v>
      </c>
      <c r="AX576" s="130" t="s">
        <v>72</v>
      </c>
      <c r="AY576" s="130" t="s">
        <v>161</v>
      </c>
    </row>
    <row r="577" spans="2:51" s="6" customFormat="1" ht="15.75" customHeight="1">
      <c r="B577" s="129"/>
      <c r="E577" s="130"/>
      <c r="F577" s="213" t="s">
        <v>478</v>
      </c>
      <c r="G577" s="214"/>
      <c r="H577" s="214"/>
      <c r="I577" s="214"/>
      <c r="K577" s="131">
        <v>4.64</v>
      </c>
      <c r="N577" s="130"/>
      <c r="R577" s="132"/>
      <c r="T577" s="133"/>
      <c r="AA577" s="134"/>
      <c r="AT577" s="130" t="s">
        <v>168</v>
      </c>
      <c r="AU577" s="130" t="s">
        <v>102</v>
      </c>
      <c r="AV577" s="130" t="s">
        <v>102</v>
      </c>
      <c r="AW577" s="130" t="s">
        <v>112</v>
      </c>
      <c r="AX577" s="130" t="s">
        <v>72</v>
      </c>
      <c r="AY577" s="130" t="s">
        <v>161</v>
      </c>
    </row>
    <row r="578" spans="2:51" s="6" customFormat="1" ht="15.75" customHeight="1">
      <c r="B578" s="129"/>
      <c r="E578" s="130"/>
      <c r="F578" s="213" t="s">
        <v>443</v>
      </c>
      <c r="G578" s="214"/>
      <c r="H578" s="214"/>
      <c r="I578" s="214"/>
      <c r="K578" s="131">
        <v>0.44</v>
      </c>
      <c r="N578" s="130"/>
      <c r="R578" s="132"/>
      <c r="T578" s="133"/>
      <c r="AA578" s="134"/>
      <c r="AT578" s="130" t="s">
        <v>168</v>
      </c>
      <c r="AU578" s="130" t="s">
        <v>102</v>
      </c>
      <c r="AV578" s="130" t="s">
        <v>102</v>
      </c>
      <c r="AW578" s="130" t="s">
        <v>112</v>
      </c>
      <c r="AX578" s="130" t="s">
        <v>72</v>
      </c>
      <c r="AY578" s="130" t="s">
        <v>161</v>
      </c>
    </row>
    <row r="579" spans="2:51" s="6" customFormat="1" ht="15.75" customHeight="1">
      <c r="B579" s="135"/>
      <c r="E579" s="136"/>
      <c r="F579" s="215" t="s">
        <v>171</v>
      </c>
      <c r="G579" s="216"/>
      <c r="H579" s="216"/>
      <c r="I579" s="216"/>
      <c r="K579" s="137">
        <v>27.834</v>
      </c>
      <c r="N579" s="136"/>
      <c r="R579" s="138"/>
      <c r="T579" s="139"/>
      <c r="AA579" s="140"/>
      <c r="AT579" s="136" t="s">
        <v>168</v>
      </c>
      <c r="AU579" s="136" t="s">
        <v>102</v>
      </c>
      <c r="AV579" s="136" t="s">
        <v>166</v>
      </c>
      <c r="AW579" s="136" t="s">
        <v>112</v>
      </c>
      <c r="AX579" s="136" t="s">
        <v>16</v>
      </c>
      <c r="AY579" s="136" t="s">
        <v>161</v>
      </c>
    </row>
    <row r="580" spans="2:63" s="6" customFormat="1" ht="27" customHeight="1">
      <c r="B580" s="20"/>
      <c r="C580" s="117" t="s">
        <v>611</v>
      </c>
      <c r="D580" s="117" t="s">
        <v>162</v>
      </c>
      <c r="E580" s="118" t="s">
        <v>612</v>
      </c>
      <c r="F580" s="204" t="s">
        <v>613</v>
      </c>
      <c r="G580" s="205"/>
      <c r="H580" s="205"/>
      <c r="I580" s="205"/>
      <c r="J580" s="119" t="s">
        <v>224</v>
      </c>
      <c r="K580" s="120">
        <v>1.609</v>
      </c>
      <c r="L580" s="206">
        <v>0</v>
      </c>
      <c r="M580" s="205"/>
      <c r="N580" s="207">
        <f>ROUND($L$580*$K$580,2)</f>
        <v>0</v>
      </c>
      <c r="O580" s="205"/>
      <c r="P580" s="205"/>
      <c r="Q580" s="205"/>
      <c r="R580" s="21"/>
      <c r="T580" s="121"/>
      <c r="U580" s="27" t="s">
        <v>37</v>
      </c>
      <c r="V580" s="122">
        <v>1.863</v>
      </c>
      <c r="W580" s="122">
        <f>$V$580*$K$580</f>
        <v>2.997567</v>
      </c>
      <c r="X580" s="122">
        <v>0</v>
      </c>
      <c r="Y580" s="122">
        <f>$X$580*$K$580</f>
        <v>0</v>
      </c>
      <c r="Z580" s="122">
        <v>0</v>
      </c>
      <c r="AA580" s="123">
        <f>$Z$580*$K$580</f>
        <v>0</v>
      </c>
      <c r="AR580" s="6" t="s">
        <v>221</v>
      </c>
      <c r="AT580" s="6" t="s">
        <v>162</v>
      </c>
      <c r="AU580" s="6" t="s">
        <v>102</v>
      </c>
      <c r="AY580" s="6" t="s">
        <v>161</v>
      </c>
      <c r="BE580" s="76">
        <f>IF($U$580="základní",$N$580,0)</f>
        <v>0</v>
      </c>
      <c r="BF580" s="76">
        <f>IF($U$580="snížená",$N$580,0)</f>
        <v>0</v>
      </c>
      <c r="BG580" s="76">
        <f>IF($U$580="zákl. přenesená",$N$580,0)</f>
        <v>0</v>
      </c>
      <c r="BH580" s="76">
        <f>IF($U$580="sníž. přenesená",$N$580,0)</f>
        <v>0</v>
      </c>
      <c r="BI580" s="76">
        <f>IF($U$580="nulová",$N$580,0)</f>
        <v>0</v>
      </c>
      <c r="BJ580" s="6" t="s">
        <v>16</v>
      </c>
      <c r="BK580" s="76">
        <f>ROUND($L$580*$K$580,2)</f>
        <v>0</v>
      </c>
    </row>
    <row r="581" spans="2:63" s="107" customFormat="1" ht="30.75" customHeight="1">
      <c r="B581" s="108"/>
      <c r="D581" s="116" t="s">
        <v>125</v>
      </c>
      <c r="N581" s="222">
        <f>$BK$581</f>
        <v>0</v>
      </c>
      <c r="O581" s="210"/>
      <c r="P581" s="210"/>
      <c r="Q581" s="210"/>
      <c r="R581" s="111"/>
      <c r="T581" s="112"/>
      <c r="W581" s="113">
        <f>SUM($W$582:$W$612)</f>
        <v>148.947579</v>
      </c>
      <c r="Y581" s="113">
        <f>SUM($Y$582:$Y$612)</f>
        <v>3.1315679899999997</v>
      </c>
      <c r="AA581" s="114">
        <f>SUM($AA$582:$AA$612)</f>
        <v>2.493808</v>
      </c>
      <c r="AR581" s="110" t="s">
        <v>102</v>
      </c>
      <c r="AT581" s="110" t="s">
        <v>71</v>
      </c>
      <c r="AU581" s="110" t="s">
        <v>16</v>
      </c>
      <c r="AY581" s="110" t="s">
        <v>161</v>
      </c>
      <c r="BK581" s="115">
        <f>SUM($BK$582:$BK$612)</f>
        <v>0</v>
      </c>
    </row>
    <row r="582" spans="2:63" s="6" customFormat="1" ht="27" customHeight="1">
      <c r="B582" s="20"/>
      <c r="C582" s="117" t="s">
        <v>614</v>
      </c>
      <c r="D582" s="117" t="s">
        <v>162</v>
      </c>
      <c r="E582" s="118" t="s">
        <v>615</v>
      </c>
      <c r="F582" s="204" t="s">
        <v>616</v>
      </c>
      <c r="G582" s="205"/>
      <c r="H582" s="205"/>
      <c r="I582" s="205"/>
      <c r="J582" s="119" t="s">
        <v>174</v>
      </c>
      <c r="K582" s="120">
        <v>76.416</v>
      </c>
      <c r="L582" s="206">
        <v>0</v>
      </c>
      <c r="M582" s="205"/>
      <c r="N582" s="207">
        <f>ROUND($L$582*$K$582,2)</f>
        <v>0</v>
      </c>
      <c r="O582" s="205"/>
      <c r="P582" s="205"/>
      <c r="Q582" s="205"/>
      <c r="R582" s="21"/>
      <c r="T582" s="121"/>
      <c r="U582" s="27" t="s">
        <v>37</v>
      </c>
      <c r="V582" s="122">
        <v>0.927</v>
      </c>
      <c r="W582" s="122">
        <f>$V$582*$K$582</f>
        <v>70.837632</v>
      </c>
      <c r="X582" s="122">
        <v>0.02341</v>
      </c>
      <c r="Y582" s="122">
        <f>$X$582*$K$582</f>
        <v>1.78889856</v>
      </c>
      <c r="Z582" s="122">
        <v>0</v>
      </c>
      <c r="AA582" s="123">
        <f>$Z$582*$K$582</f>
        <v>0</v>
      </c>
      <c r="AR582" s="6" t="s">
        <v>221</v>
      </c>
      <c r="AT582" s="6" t="s">
        <v>162</v>
      </c>
      <c r="AU582" s="6" t="s">
        <v>102</v>
      </c>
      <c r="AY582" s="6" t="s">
        <v>161</v>
      </c>
      <c r="BE582" s="76">
        <f>IF($U$582="základní",$N$582,0)</f>
        <v>0</v>
      </c>
      <c r="BF582" s="76">
        <f>IF($U$582="snížená",$N$582,0)</f>
        <v>0</v>
      </c>
      <c r="BG582" s="76">
        <f>IF($U$582="zákl. přenesená",$N$582,0)</f>
        <v>0</v>
      </c>
      <c r="BH582" s="76">
        <f>IF($U$582="sníž. přenesená",$N$582,0)</f>
        <v>0</v>
      </c>
      <c r="BI582" s="76">
        <f>IF($U$582="nulová",$N$582,0)</f>
        <v>0</v>
      </c>
      <c r="BJ582" s="6" t="s">
        <v>16</v>
      </c>
      <c r="BK582" s="76">
        <f>ROUND($L$582*$K$582,2)</f>
        <v>0</v>
      </c>
    </row>
    <row r="583" spans="2:51" s="6" customFormat="1" ht="15.75" customHeight="1">
      <c r="B583" s="124"/>
      <c r="E583" s="125"/>
      <c r="F583" s="211" t="s">
        <v>310</v>
      </c>
      <c r="G583" s="212"/>
      <c r="H583" s="212"/>
      <c r="I583" s="212"/>
      <c r="K583" s="125"/>
      <c r="N583" s="125"/>
      <c r="R583" s="126"/>
      <c r="T583" s="127"/>
      <c r="AA583" s="128"/>
      <c r="AT583" s="125" t="s">
        <v>168</v>
      </c>
      <c r="AU583" s="125" t="s">
        <v>102</v>
      </c>
      <c r="AV583" s="125" t="s">
        <v>16</v>
      </c>
      <c r="AW583" s="125" t="s">
        <v>112</v>
      </c>
      <c r="AX583" s="125" t="s">
        <v>72</v>
      </c>
      <c r="AY583" s="125" t="s">
        <v>161</v>
      </c>
    </row>
    <row r="584" spans="2:51" s="6" customFormat="1" ht="27" customHeight="1">
      <c r="B584" s="124"/>
      <c r="E584" s="125"/>
      <c r="F584" s="211" t="s">
        <v>617</v>
      </c>
      <c r="G584" s="212"/>
      <c r="H584" s="212"/>
      <c r="I584" s="212"/>
      <c r="K584" s="125"/>
      <c r="N584" s="125"/>
      <c r="R584" s="126"/>
      <c r="T584" s="127"/>
      <c r="AA584" s="128"/>
      <c r="AT584" s="125" t="s">
        <v>168</v>
      </c>
      <c r="AU584" s="125" t="s">
        <v>102</v>
      </c>
      <c r="AV584" s="125" t="s">
        <v>16</v>
      </c>
      <c r="AW584" s="125" t="s">
        <v>112</v>
      </c>
      <c r="AX584" s="125" t="s">
        <v>72</v>
      </c>
      <c r="AY584" s="125" t="s">
        <v>161</v>
      </c>
    </row>
    <row r="585" spans="2:51" s="6" customFormat="1" ht="15.75" customHeight="1">
      <c r="B585" s="129"/>
      <c r="E585" s="130"/>
      <c r="F585" s="213" t="s">
        <v>618</v>
      </c>
      <c r="G585" s="214"/>
      <c r="H585" s="214"/>
      <c r="I585" s="214"/>
      <c r="K585" s="131">
        <v>81.216</v>
      </c>
      <c r="N585" s="130"/>
      <c r="R585" s="132"/>
      <c r="T585" s="133"/>
      <c r="AA585" s="134"/>
      <c r="AT585" s="130" t="s">
        <v>168</v>
      </c>
      <c r="AU585" s="130" t="s">
        <v>102</v>
      </c>
      <c r="AV585" s="130" t="s">
        <v>102</v>
      </c>
      <c r="AW585" s="130" t="s">
        <v>112</v>
      </c>
      <c r="AX585" s="130" t="s">
        <v>72</v>
      </c>
      <c r="AY585" s="130" t="s">
        <v>161</v>
      </c>
    </row>
    <row r="586" spans="2:51" s="6" customFormat="1" ht="15.75" customHeight="1">
      <c r="B586" s="129"/>
      <c r="E586" s="130"/>
      <c r="F586" s="213" t="s">
        <v>619</v>
      </c>
      <c r="G586" s="214"/>
      <c r="H586" s="214"/>
      <c r="I586" s="214"/>
      <c r="K586" s="131">
        <v>-4.8</v>
      </c>
      <c r="N586" s="130"/>
      <c r="R586" s="132"/>
      <c r="T586" s="133"/>
      <c r="AA586" s="134"/>
      <c r="AT586" s="130" t="s">
        <v>168</v>
      </c>
      <c r="AU586" s="130" t="s">
        <v>102</v>
      </c>
      <c r="AV586" s="130" t="s">
        <v>102</v>
      </c>
      <c r="AW586" s="130" t="s">
        <v>112</v>
      </c>
      <c r="AX586" s="130" t="s">
        <v>72</v>
      </c>
      <c r="AY586" s="130" t="s">
        <v>161</v>
      </c>
    </row>
    <row r="587" spans="2:51" s="6" customFormat="1" ht="15.75" customHeight="1">
      <c r="B587" s="135"/>
      <c r="E587" s="136"/>
      <c r="F587" s="215" t="s">
        <v>171</v>
      </c>
      <c r="G587" s="216"/>
      <c r="H587" s="216"/>
      <c r="I587" s="216"/>
      <c r="K587" s="137">
        <v>76.416</v>
      </c>
      <c r="N587" s="136"/>
      <c r="R587" s="138"/>
      <c r="T587" s="139"/>
      <c r="AA587" s="140"/>
      <c r="AT587" s="136" t="s">
        <v>168</v>
      </c>
      <c r="AU587" s="136" t="s">
        <v>102</v>
      </c>
      <c r="AV587" s="136" t="s">
        <v>166</v>
      </c>
      <c r="AW587" s="136" t="s">
        <v>112</v>
      </c>
      <c r="AX587" s="136" t="s">
        <v>16</v>
      </c>
      <c r="AY587" s="136" t="s">
        <v>161</v>
      </c>
    </row>
    <row r="588" spans="2:63" s="6" customFormat="1" ht="27" customHeight="1">
      <c r="B588" s="20"/>
      <c r="C588" s="117" t="s">
        <v>620</v>
      </c>
      <c r="D588" s="117" t="s">
        <v>162</v>
      </c>
      <c r="E588" s="118" t="s">
        <v>621</v>
      </c>
      <c r="F588" s="204" t="s">
        <v>622</v>
      </c>
      <c r="G588" s="205"/>
      <c r="H588" s="205"/>
      <c r="I588" s="205"/>
      <c r="J588" s="119" t="s">
        <v>174</v>
      </c>
      <c r="K588" s="120">
        <v>76.416</v>
      </c>
      <c r="L588" s="206">
        <v>0</v>
      </c>
      <c r="M588" s="205"/>
      <c r="N588" s="207">
        <f>ROUND($L$588*$K$588,2)</f>
        <v>0</v>
      </c>
      <c r="O588" s="205"/>
      <c r="P588" s="205"/>
      <c r="Q588" s="205"/>
      <c r="R588" s="21"/>
      <c r="T588" s="121"/>
      <c r="U588" s="27" t="s">
        <v>37</v>
      </c>
      <c r="V588" s="122">
        <v>0.198</v>
      </c>
      <c r="W588" s="122">
        <f>$V$588*$K$588</f>
        <v>15.130368</v>
      </c>
      <c r="X588" s="122">
        <v>0</v>
      </c>
      <c r="Y588" s="122">
        <f>$X$588*$K$588</f>
        <v>0</v>
      </c>
      <c r="Z588" s="122">
        <v>0.03175</v>
      </c>
      <c r="AA588" s="123">
        <f>$Z$588*$K$588</f>
        <v>2.426208</v>
      </c>
      <c r="AR588" s="6" t="s">
        <v>221</v>
      </c>
      <c r="AT588" s="6" t="s">
        <v>162</v>
      </c>
      <c r="AU588" s="6" t="s">
        <v>102</v>
      </c>
      <c r="AY588" s="6" t="s">
        <v>161</v>
      </c>
      <c r="BE588" s="76">
        <f>IF($U$588="základní",$N$588,0)</f>
        <v>0</v>
      </c>
      <c r="BF588" s="76">
        <f>IF($U$588="snížená",$N$588,0)</f>
        <v>0</v>
      </c>
      <c r="BG588" s="76">
        <f>IF($U$588="zákl. přenesená",$N$588,0)</f>
        <v>0</v>
      </c>
      <c r="BH588" s="76">
        <f>IF($U$588="sníž. přenesená",$N$588,0)</f>
        <v>0</v>
      </c>
      <c r="BI588" s="76">
        <f>IF($U$588="nulová",$N$588,0)</f>
        <v>0</v>
      </c>
      <c r="BJ588" s="6" t="s">
        <v>16</v>
      </c>
      <c r="BK588" s="76">
        <f>ROUND($L$588*$K$588,2)</f>
        <v>0</v>
      </c>
    </row>
    <row r="589" spans="2:51" s="6" customFormat="1" ht="15.75" customHeight="1">
      <c r="B589" s="124"/>
      <c r="E589" s="125"/>
      <c r="F589" s="211" t="s">
        <v>310</v>
      </c>
      <c r="G589" s="212"/>
      <c r="H589" s="212"/>
      <c r="I589" s="212"/>
      <c r="K589" s="125"/>
      <c r="N589" s="125"/>
      <c r="R589" s="126"/>
      <c r="T589" s="127"/>
      <c r="AA589" s="128"/>
      <c r="AT589" s="125" t="s">
        <v>168</v>
      </c>
      <c r="AU589" s="125" t="s">
        <v>102</v>
      </c>
      <c r="AV589" s="125" t="s">
        <v>16</v>
      </c>
      <c r="AW589" s="125" t="s">
        <v>112</v>
      </c>
      <c r="AX589" s="125" t="s">
        <v>72</v>
      </c>
      <c r="AY589" s="125" t="s">
        <v>161</v>
      </c>
    </row>
    <row r="590" spans="2:51" s="6" customFormat="1" ht="27" customHeight="1">
      <c r="B590" s="124"/>
      <c r="E590" s="125"/>
      <c r="F590" s="211" t="s">
        <v>617</v>
      </c>
      <c r="G590" s="212"/>
      <c r="H590" s="212"/>
      <c r="I590" s="212"/>
      <c r="K590" s="125"/>
      <c r="N590" s="125"/>
      <c r="R590" s="126"/>
      <c r="T590" s="127"/>
      <c r="AA590" s="128"/>
      <c r="AT590" s="125" t="s">
        <v>168</v>
      </c>
      <c r="AU590" s="125" t="s">
        <v>102</v>
      </c>
      <c r="AV590" s="125" t="s">
        <v>16</v>
      </c>
      <c r="AW590" s="125" t="s">
        <v>112</v>
      </c>
      <c r="AX590" s="125" t="s">
        <v>72</v>
      </c>
      <c r="AY590" s="125" t="s">
        <v>161</v>
      </c>
    </row>
    <row r="591" spans="2:51" s="6" customFormat="1" ht="15.75" customHeight="1">
      <c r="B591" s="129"/>
      <c r="E591" s="130"/>
      <c r="F591" s="213" t="s">
        <v>618</v>
      </c>
      <c r="G591" s="214"/>
      <c r="H591" s="214"/>
      <c r="I591" s="214"/>
      <c r="K591" s="131">
        <v>81.216</v>
      </c>
      <c r="N591" s="130"/>
      <c r="R591" s="132"/>
      <c r="T591" s="133"/>
      <c r="AA591" s="134"/>
      <c r="AT591" s="130" t="s">
        <v>168</v>
      </c>
      <c r="AU591" s="130" t="s">
        <v>102</v>
      </c>
      <c r="AV591" s="130" t="s">
        <v>102</v>
      </c>
      <c r="AW591" s="130" t="s">
        <v>112</v>
      </c>
      <c r="AX591" s="130" t="s">
        <v>72</v>
      </c>
      <c r="AY591" s="130" t="s">
        <v>161</v>
      </c>
    </row>
    <row r="592" spans="2:51" s="6" customFormat="1" ht="15.75" customHeight="1">
      <c r="B592" s="129"/>
      <c r="E592" s="130"/>
      <c r="F592" s="213" t="s">
        <v>619</v>
      </c>
      <c r="G592" s="214"/>
      <c r="H592" s="214"/>
      <c r="I592" s="214"/>
      <c r="K592" s="131">
        <v>-4.8</v>
      </c>
      <c r="N592" s="130"/>
      <c r="R592" s="132"/>
      <c r="T592" s="133"/>
      <c r="AA592" s="134"/>
      <c r="AT592" s="130" t="s">
        <v>168</v>
      </c>
      <c r="AU592" s="130" t="s">
        <v>102</v>
      </c>
      <c r="AV592" s="130" t="s">
        <v>102</v>
      </c>
      <c r="AW592" s="130" t="s">
        <v>112</v>
      </c>
      <c r="AX592" s="130" t="s">
        <v>72</v>
      </c>
      <c r="AY592" s="130" t="s">
        <v>161</v>
      </c>
    </row>
    <row r="593" spans="2:51" s="6" customFormat="1" ht="15.75" customHeight="1">
      <c r="B593" s="135"/>
      <c r="E593" s="136"/>
      <c r="F593" s="215" t="s">
        <v>171</v>
      </c>
      <c r="G593" s="216"/>
      <c r="H593" s="216"/>
      <c r="I593" s="216"/>
      <c r="K593" s="137">
        <v>76.416</v>
      </c>
      <c r="N593" s="136"/>
      <c r="R593" s="138"/>
      <c r="T593" s="139"/>
      <c r="AA593" s="140"/>
      <c r="AT593" s="136" t="s">
        <v>168</v>
      </c>
      <c r="AU593" s="136" t="s">
        <v>102</v>
      </c>
      <c r="AV593" s="136" t="s">
        <v>166</v>
      </c>
      <c r="AW593" s="136" t="s">
        <v>112</v>
      </c>
      <c r="AX593" s="136" t="s">
        <v>16</v>
      </c>
      <c r="AY593" s="136" t="s">
        <v>161</v>
      </c>
    </row>
    <row r="594" spans="2:63" s="6" customFormat="1" ht="39" customHeight="1">
      <c r="B594" s="20"/>
      <c r="C594" s="117" t="s">
        <v>623</v>
      </c>
      <c r="D594" s="117" t="s">
        <v>162</v>
      </c>
      <c r="E594" s="118" t="s">
        <v>624</v>
      </c>
      <c r="F594" s="204" t="s">
        <v>625</v>
      </c>
      <c r="G594" s="205"/>
      <c r="H594" s="205"/>
      <c r="I594" s="205"/>
      <c r="J594" s="119" t="s">
        <v>174</v>
      </c>
      <c r="K594" s="120">
        <v>7.043</v>
      </c>
      <c r="L594" s="206">
        <v>0</v>
      </c>
      <c r="M594" s="205"/>
      <c r="N594" s="207">
        <f>ROUND($L$594*$K$594,2)</f>
        <v>0</v>
      </c>
      <c r="O594" s="205"/>
      <c r="P594" s="205"/>
      <c r="Q594" s="205"/>
      <c r="R594" s="21"/>
      <c r="T594" s="121"/>
      <c r="U594" s="27" t="s">
        <v>37</v>
      </c>
      <c r="V594" s="122">
        <v>2.289</v>
      </c>
      <c r="W594" s="122">
        <f>$V$594*$K$594</f>
        <v>16.121427</v>
      </c>
      <c r="X594" s="122">
        <v>0.07361</v>
      </c>
      <c r="Y594" s="122">
        <f>$X$594*$K$594</f>
        <v>0.51843523</v>
      </c>
      <c r="Z594" s="122">
        <v>0</v>
      </c>
      <c r="AA594" s="123">
        <f>$Z$594*$K$594</f>
        <v>0</v>
      </c>
      <c r="AR594" s="6" t="s">
        <v>221</v>
      </c>
      <c r="AT594" s="6" t="s">
        <v>162</v>
      </c>
      <c r="AU594" s="6" t="s">
        <v>102</v>
      </c>
      <c r="AY594" s="6" t="s">
        <v>161</v>
      </c>
      <c r="BE594" s="76">
        <f>IF($U$594="základní",$N$594,0)</f>
        <v>0</v>
      </c>
      <c r="BF594" s="76">
        <f>IF($U$594="snížená",$N$594,0)</f>
        <v>0</v>
      </c>
      <c r="BG594" s="76">
        <f>IF($U$594="zákl. přenesená",$N$594,0)</f>
        <v>0</v>
      </c>
      <c r="BH594" s="76">
        <f>IF($U$594="sníž. přenesená",$N$594,0)</f>
        <v>0</v>
      </c>
      <c r="BI594" s="76">
        <f>IF($U$594="nulová",$N$594,0)</f>
        <v>0</v>
      </c>
      <c r="BJ594" s="6" t="s">
        <v>16</v>
      </c>
      <c r="BK594" s="76">
        <f>ROUND($L$594*$K$594,2)</f>
        <v>0</v>
      </c>
    </row>
    <row r="595" spans="2:51" s="6" customFormat="1" ht="15.75" customHeight="1">
      <c r="B595" s="124"/>
      <c r="E595" s="125"/>
      <c r="F595" s="211" t="s">
        <v>436</v>
      </c>
      <c r="G595" s="212"/>
      <c r="H595" s="212"/>
      <c r="I595" s="212"/>
      <c r="K595" s="125"/>
      <c r="N595" s="125"/>
      <c r="R595" s="126"/>
      <c r="T595" s="127"/>
      <c r="AA595" s="128"/>
      <c r="AT595" s="125" t="s">
        <v>168</v>
      </c>
      <c r="AU595" s="125" t="s">
        <v>102</v>
      </c>
      <c r="AV595" s="125" t="s">
        <v>16</v>
      </c>
      <c r="AW595" s="125" t="s">
        <v>112</v>
      </c>
      <c r="AX595" s="125" t="s">
        <v>72</v>
      </c>
      <c r="AY595" s="125" t="s">
        <v>161</v>
      </c>
    </row>
    <row r="596" spans="2:51" s="6" customFormat="1" ht="15.75" customHeight="1">
      <c r="B596" s="124"/>
      <c r="E596" s="125"/>
      <c r="F596" s="211" t="s">
        <v>437</v>
      </c>
      <c r="G596" s="212"/>
      <c r="H596" s="212"/>
      <c r="I596" s="212"/>
      <c r="K596" s="125"/>
      <c r="N596" s="125"/>
      <c r="R596" s="126"/>
      <c r="T596" s="127"/>
      <c r="AA596" s="128"/>
      <c r="AT596" s="125" t="s">
        <v>168</v>
      </c>
      <c r="AU596" s="125" t="s">
        <v>102</v>
      </c>
      <c r="AV596" s="125" t="s">
        <v>16</v>
      </c>
      <c r="AW596" s="125" t="s">
        <v>112</v>
      </c>
      <c r="AX596" s="125" t="s">
        <v>72</v>
      </c>
      <c r="AY596" s="125" t="s">
        <v>161</v>
      </c>
    </row>
    <row r="597" spans="2:51" s="6" customFormat="1" ht="15.75" customHeight="1">
      <c r="B597" s="129"/>
      <c r="E597" s="130"/>
      <c r="F597" s="213" t="s">
        <v>626</v>
      </c>
      <c r="G597" s="214"/>
      <c r="H597" s="214"/>
      <c r="I597" s="214"/>
      <c r="K597" s="131">
        <v>7.043</v>
      </c>
      <c r="N597" s="130"/>
      <c r="R597" s="132"/>
      <c r="T597" s="133"/>
      <c r="AA597" s="134"/>
      <c r="AT597" s="130" t="s">
        <v>168</v>
      </c>
      <c r="AU597" s="130" t="s">
        <v>102</v>
      </c>
      <c r="AV597" s="130" t="s">
        <v>102</v>
      </c>
      <c r="AW597" s="130" t="s">
        <v>112</v>
      </c>
      <c r="AX597" s="130" t="s">
        <v>72</v>
      </c>
      <c r="AY597" s="130" t="s">
        <v>161</v>
      </c>
    </row>
    <row r="598" spans="2:51" s="6" customFormat="1" ht="15.75" customHeight="1">
      <c r="B598" s="135"/>
      <c r="E598" s="136"/>
      <c r="F598" s="215" t="s">
        <v>171</v>
      </c>
      <c r="G598" s="216"/>
      <c r="H598" s="216"/>
      <c r="I598" s="216"/>
      <c r="K598" s="137">
        <v>7.043</v>
      </c>
      <c r="N598" s="136"/>
      <c r="R598" s="138"/>
      <c r="T598" s="139"/>
      <c r="AA598" s="140"/>
      <c r="AT598" s="136" t="s">
        <v>168</v>
      </c>
      <c r="AU598" s="136" t="s">
        <v>102</v>
      </c>
      <c r="AV598" s="136" t="s">
        <v>166</v>
      </c>
      <c r="AW598" s="136" t="s">
        <v>112</v>
      </c>
      <c r="AX598" s="136" t="s">
        <v>16</v>
      </c>
      <c r="AY598" s="136" t="s">
        <v>161</v>
      </c>
    </row>
    <row r="599" spans="2:63" s="6" customFormat="1" ht="27" customHeight="1">
      <c r="B599" s="20"/>
      <c r="C599" s="117" t="s">
        <v>627</v>
      </c>
      <c r="D599" s="117" t="s">
        <v>162</v>
      </c>
      <c r="E599" s="118" t="s">
        <v>628</v>
      </c>
      <c r="F599" s="204" t="s">
        <v>629</v>
      </c>
      <c r="G599" s="205"/>
      <c r="H599" s="205"/>
      <c r="I599" s="205"/>
      <c r="J599" s="119" t="s">
        <v>174</v>
      </c>
      <c r="K599" s="120">
        <v>27.834</v>
      </c>
      <c r="L599" s="206">
        <v>0</v>
      </c>
      <c r="M599" s="205"/>
      <c r="N599" s="207">
        <f>ROUND($L$599*$K$599,2)</f>
        <v>0</v>
      </c>
      <c r="O599" s="205"/>
      <c r="P599" s="205"/>
      <c r="Q599" s="205"/>
      <c r="R599" s="21"/>
      <c r="T599" s="121"/>
      <c r="U599" s="27" t="s">
        <v>37</v>
      </c>
      <c r="V599" s="122">
        <v>1.148</v>
      </c>
      <c r="W599" s="122">
        <f>$V$599*$K$599</f>
        <v>31.953431999999996</v>
      </c>
      <c r="X599" s="122">
        <v>0.0263</v>
      </c>
      <c r="Y599" s="122">
        <f>$X$599*$K$599</f>
        <v>0.7320342</v>
      </c>
      <c r="Z599" s="122">
        <v>0</v>
      </c>
      <c r="AA599" s="123">
        <f>$Z$599*$K$599</f>
        <v>0</v>
      </c>
      <c r="AR599" s="6" t="s">
        <v>221</v>
      </c>
      <c r="AT599" s="6" t="s">
        <v>162</v>
      </c>
      <c r="AU599" s="6" t="s">
        <v>102</v>
      </c>
      <c r="AY599" s="6" t="s">
        <v>161</v>
      </c>
      <c r="BE599" s="76">
        <f>IF($U$599="základní",$N$599,0)</f>
        <v>0</v>
      </c>
      <c r="BF599" s="76">
        <f>IF($U$599="snížená",$N$599,0)</f>
        <v>0</v>
      </c>
      <c r="BG599" s="76">
        <f>IF($U$599="zákl. přenesená",$N$599,0)</f>
        <v>0</v>
      </c>
      <c r="BH599" s="76">
        <f>IF($U$599="sníž. přenesená",$N$599,0)</f>
        <v>0</v>
      </c>
      <c r="BI599" s="76">
        <f>IF($U$599="nulová",$N$599,0)</f>
        <v>0</v>
      </c>
      <c r="BJ599" s="6" t="s">
        <v>16</v>
      </c>
      <c r="BK599" s="76">
        <f>ROUND($L$599*$K$599,2)</f>
        <v>0</v>
      </c>
    </row>
    <row r="600" spans="2:51" s="6" customFormat="1" ht="15.75" customHeight="1">
      <c r="B600" s="124"/>
      <c r="E600" s="125"/>
      <c r="F600" s="211" t="s">
        <v>436</v>
      </c>
      <c r="G600" s="212"/>
      <c r="H600" s="212"/>
      <c r="I600" s="212"/>
      <c r="K600" s="125"/>
      <c r="N600" s="125"/>
      <c r="R600" s="126"/>
      <c r="T600" s="127"/>
      <c r="AA600" s="128"/>
      <c r="AT600" s="125" t="s">
        <v>168</v>
      </c>
      <c r="AU600" s="125" t="s">
        <v>102</v>
      </c>
      <c r="AV600" s="125" t="s">
        <v>16</v>
      </c>
      <c r="AW600" s="125" t="s">
        <v>112</v>
      </c>
      <c r="AX600" s="125" t="s">
        <v>72</v>
      </c>
      <c r="AY600" s="125" t="s">
        <v>161</v>
      </c>
    </row>
    <row r="601" spans="2:51" s="6" customFormat="1" ht="15.75" customHeight="1">
      <c r="B601" s="124"/>
      <c r="E601" s="125"/>
      <c r="F601" s="211" t="s">
        <v>437</v>
      </c>
      <c r="G601" s="212"/>
      <c r="H601" s="212"/>
      <c r="I601" s="212"/>
      <c r="K601" s="125"/>
      <c r="N601" s="125"/>
      <c r="R601" s="126"/>
      <c r="T601" s="127"/>
      <c r="AA601" s="128"/>
      <c r="AT601" s="125" t="s">
        <v>168</v>
      </c>
      <c r="AU601" s="125" t="s">
        <v>102</v>
      </c>
      <c r="AV601" s="125" t="s">
        <v>16</v>
      </c>
      <c r="AW601" s="125" t="s">
        <v>112</v>
      </c>
      <c r="AX601" s="125" t="s">
        <v>72</v>
      </c>
      <c r="AY601" s="125" t="s">
        <v>161</v>
      </c>
    </row>
    <row r="602" spans="2:51" s="6" customFormat="1" ht="15.75" customHeight="1">
      <c r="B602" s="129"/>
      <c r="E602" s="130"/>
      <c r="F602" s="213" t="s">
        <v>474</v>
      </c>
      <c r="G602" s="214"/>
      <c r="H602" s="214"/>
      <c r="I602" s="214"/>
      <c r="K602" s="131">
        <v>14.084</v>
      </c>
      <c r="N602" s="130"/>
      <c r="R602" s="132"/>
      <c r="T602" s="133"/>
      <c r="AA602" s="134"/>
      <c r="AT602" s="130" t="s">
        <v>168</v>
      </c>
      <c r="AU602" s="130" t="s">
        <v>102</v>
      </c>
      <c r="AV602" s="130" t="s">
        <v>102</v>
      </c>
      <c r="AW602" s="130" t="s">
        <v>112</v>
      </c>
      <c r="AX602" s="130" t="s">
        <v>72</v>
      </c>
      <c r="AY602" s="130" t="s">
        <v>161</v>
      </c>
    </row>
    <row r="603" spans="2:51" s="6" customFormat="1" ht="15.75" customHeight="1">
      <c r="B603" s="129"/>
      <c r="E603" s="130"/>
      <c r="F603" s="213" t="s">
        <v>475</v>
      </c>
      <c r="G603" s="214"/>
      <c r="H603" s="214"/>
      <c r="I603" s="214"/>
      <c r="K603" s="131">
        <v>1.62</v>
      </c>
      <c r="N603" s="130"/>
      <c r="R603" s="132"/>
      <c r="T603" s="133"/>
      <c r="AA603" s="134"/>
      <c r="AT603" s="130" t="s">
        <v>168</v>
      </c>
      <c r="AU603" s="130" t="s">
        <v>102</v>
      </c>
      <c r="AV603" s="130" t="s">
        <v>102</v>
      </c>
      <c r="AW603" s="130" t="s">
        <v>112</v>
      </c>
      <c r="AX603" s="130" t="s">
        <v>72</v>
      </c>
      <c r="AY603" s="130" t="s">
        <v>161</v>
      </c>
    </row>
    <row r="604" spans="2:51" s="6" customFormat="1" ht="15.75" customHeight="1">
      <c r="B604" s="129"/>
      <c r="E604" s="130"/>
      <c r="F604" s="213" t="s">
        <v>476</v>
      </c>
      <c r="G604" s="214"/>
      <c r="H604" s="214"/>
      <c r="I604" s="214"/>
      <c r="K604" s="131">
        <v>3.6</v>
      </c>
      <c r="N604" s="130"/>
      <c r="R604" s="132"/>
      <c r="T604" s="133"/>
      <c r="AA604" s="134"/>
      <c r="AT604" s="130" t="s">
        <v>168</v>
      </c>
      <c r="AU604" s="130" t="s">
        <v>102</v>
      </c>
      <c r="AV604" s="130" t="s">
        <v>102</v>
      </c>
      <c r="AW604" s="130" t="s">
        <v>112</v>
      </c>
      <c r="AX604" s="130" t="s">
        <v>72</v>
      </c>
      <c r="AY604" s="130" t="s">
        <v>161</v>
      </c>
    </row>
    <row r="605" spans="2:51" s="6" customFormat="1" ht="15.75" customHeight="1">
      <c r="B605" s="129"/>
      <c r="E605" s="130"/>
      <c r="F605" s="213" t="s">
        <v>477</v>
      </c>
      <c r="G605" s="214"/>
      <c r="H605" s="214"/>
      <c r="I605" s="214"/>
      <c r="K605" s="131">
        <v>3.45</v>
      </c>
      <c r="N605" s="130"/>
      <c r="R605" s="132"/>
      <c r="T605" s="133"/>
      <c r="AA605" s="134"/>
      <c r="AT605" s="130" t="s">
        <v>168</v>
      </c>
      <c r="AU605" s="130" t="s">
        <v>102</v>
      </c>
      <c r="AV605" s="130" t="s">
        <v>102</v>
      </c>
      <c r="AW605" s="130" t="s">
        <v>112</v>
      </c>
      <c r="AX605" s="130" t="s">
        <v>72</v>
      </c>
      <c r="AY605" s="130" t="s">
        <v>161</v>
      </c>
    </row>
    <row r="606" spans="2:51" s="6" customFormat="1" ht="15.75" customHeight="1">
      <c r="B606" s="129"/>
      <c r="E606" s="130"/>
      <c r="F606" s="213" t="s">
        <v>478</v>
      </c>
      <c r="G606" s="214"/>
      <c r="H606" s="214"/>
      <c r="I606" s="214"/>
      <c r="K606" s="131">
        <v>4.64</v>
      </c>
      <c r="N606" s="130"/>
      <c r="R606" s="132"/>
      <c r="T606" s="133"/>
      <c r="AA606" s="134"/>
      <c r="AT606" s="130" t="s">
        <v>168</v>
      </c>
      <c r="AU606" s="130" t="s">
        <v>102</v>
      </c>
      <c r="AV606" s="130" t="s">
        <v>102</v>
      </c>
      <c r="AW606" s="130" t="s">
        <v>112</v>
      </c>
      <c r="AX606" s="130" t="s">
        <v>72</v>
      </c>
      <c r="AY606" s="130" t="s">
        <v>161</v>
      </c>
    </row>
    <row r="607" spans="2:51" s="6" customFormat="1" ht="15.75" customHeight="1">
      <c r="B607" s="129"/>
      <c r="E607" s="130"/>
      <c r="F607" s="213" t="s">
        <v>443</v>
      </c>
      <c r="G607" s="214"/>
      <c r="H607" s="214"/>
      <c r="I607" s="214"/>
      <c r="K607" s="131">
        <v>0.44</v>
      </c>
      <c r="N607" s="130"/>
      <c r="R607" s="132"/>
      <c r="T607" s="133"/>
      <c r="AA607" s="134"/>
      <c r="AT607" s="130" t="s">
        <v>168</v>
      </c>
      <c r="AU607" s="130" t="s">
        <v>102</v>
      </c>
      <c r="AV607" s="130" t="s">
        <v>102</v>
      </c>
      <c r="AW607" s="130" t="s">
        <v>112</v>
      </c>
      <c r="AX607" s="130" t="s">
        <v>72</v>
      </c>
      <c r="AY607" s="130" t="s">
        <v>161</v>
      </c>
    </row>
    <row r="608" spans="2:51" s="6" customFormat="1" ht="15.75" customHeight="1">
      <c r="B608" s="135"/>
      <c r="E608" s="136"/>
      <c r="F608" s="215" t="s">
        <v>171</v>
      </c>
      <c r="G608" s="216"/>
      <c r="H608" s="216"/>
      <c r="I608" s="216"/>
      <c r="K608" s="137">
        <v>27.834</v>
      </c>
      <c r="N608" s="136"/>
      <c r="R608" s="138"/>
      <c r="T608" s="139"/>
      <c r="AA608" s="140"/>
      <c r="AT608" s="136" t="s">
        <v>168</v>
      </c>
      <c r="AU608" s="136" t="s">
        <v>102</v>
      </c>
      <c r="AV608" s="136" t="s">
        <v>166</v>
      </c>
      <c r="AW608" s="136" t="s">
        <v>112</v>
      </c>
      <c r="AX608" s="136" t="s">
        <v>16</v>
      </c>
      <c r="AY608" s="136" t="s">
        <v>161</v>
      </c>
    </row>
    <row r="609" spans="2:63" s="6" customFormat="1" ht="27" customHeight="1">
      <c r="B609" s="20"/>
      <c r="C609" s="117" t="s">
        <v>630</v>
      </c>
      <c r="D609" s="117" t="s">
        <v>162</v>
      </c>
      <c r="E609" s="118" t="s">
        <v>631</v>
      </c>
      <c r="F609" s="204" t="s">
        <v>632</v>
      </c>
      <c r="G609" s="205"/>
      <c r="H609" s="205"/>
      <c r="I609" s="205"/>
      <c r="J609" s="119" t="s">
        <v>249</v>
      </c>
      <c r="K609" s="120">
        <v>4</v>
      </c>
      <c r="L609" s="206">
        <v>0</v>
      </c>
      <c r="M609" s="205"/>
      <c r="N609" s="207">
        <f>ROUND($L$609*$K$609,2)</f>
        <v>0</v>
      </c>
      <c r="O609" s="205"/>
      <c r="P609" s="205"/>
      <c r="Q609" s="205"/>
      <c r="R609" s="21"/>
      <c r="T609" s="121"/>
      <c r="U609" s="27" t="s">
        <v>37</v>
      </c>
      <c r="V609" s="122">
        <v>1.5</v>
      </c>
      <c r="W609" s="122">
        <f>$V$609*$K$609</f>
        <v>6</v>
      </c>
      <c r="X609" s="122">
        <v>0.00022</v>
      </c>
      <c r="Y609" s="122">
        <f>$X$609*$K$609</f>
        <v>0.00088</v>
      </c>
      <c r="Z609" s="122">
        <v>0</v>
      </c>
      <c r="AA609" s="123">
        <f>$Z$609*$K$609</f>
        <v>0</v>
      </c>
      <c r="AR609" s="6" t="s">
        <v>221</v>
      </c>
      <c r="AT609" s="6" t="s">
        <v>162</v>
      </c>
      <c r="AU609" s="6" t="s">
        <v>102</v>
      </c>
      <c r="AY609" s="6" t="s">
        <v>161</v>
      </c>
      <c r="BE609" s="76">
        <f>IF($U$609="základní",$N$609,0)</f>
        <v>0</v>
      </c>
      <c r="BF609" s="76">
        <f>IF($U$609="snížená",$N$609,0)</f>
        <v>0</v>
      </c>
      <c r="BG609" s="76">
        <f>IF($U$609="zákl. přenesená",$N$609,0)</f>
        <v>0</v>
      </c>
      <c r="BH609" s="76">
        <f>IF($U$609="sníž. přenesená",$N$609,0)</f>
        <v>0</v>
      </c>
      <c r="BI609" s="76">
        <f>IF($U$609="nulová",$N$609,0)</f>
        <v>0</v>
      </c>
      <c r="BJ609" s="6" t="s">
        <v>16</v>
      </c>
      <c r="BK609" s="76">
        <f>ROUND($L$609*$K$609,2)</f>
        <v>0</v>
      </c>
    </row>
    <row r="610" spans="2:63" s="6" customFormat="1" ht="15.75" customHeight="1">
      <c r="B610" s="20"/>
      <c r="C610" s="141" t="s">
        <v>633</v>
      </c>
      <c r="D610" s="141" t="s">
        <v>227</v>
      </c>
      <c r="E610" s="142" t="s">
        <v>634</v>
      </c>
      <c r="F610" s="217" t="s">
        <v>635</v>
      </c>
      <c r="G610" s="218"/>
      <c r="H610" s="218"/>
      <c r="I610" s="218"/>
      <c r="J610" s="143" t="s">
        <v>249</v>
      </c>
      <c r="K610" s="144">
        <v>4</v>
      </c>
      <c r="L610" s="219">
        <v>0</v>
      </c>
      <c r="M610" s="218"/>
      <c r="N610" s="220">
        <f>ROUND($L$610*$K$610,2)</f>
        <v>0</v>
      </c>
      <c r="O610" s="205"/>
      <c r="P610" s="205"/>
      <c r="Q610" s="205"/>
      <c r="R610" s="21"/>
      <c r="T610" s="121"/>
      <c r="U610" s="27" t="s">
        <v>37</v>
      </c>
      <c r="V610" s="122">
        <v>0</v>
      </c>
      <c r="W610" s="122">
        <f>$V$610*$K$610</f>
        <v>0</v>
      </c>
      <c r="X610" s="122">
        <v>0.02283</v>
      </c>
      <c r="Y610" s="122">
        <f>$X$610*$K$610</f>
        <v>0.09132</v>
      </c>
      <c r="Z610" s="122">
        <v>0</v>
      </c>
      <c r="AA610" s="123">
        <f>$Z$610*$K$610</f>
        <v>0</v>
      </c>
      <c r="AR610" s="6" t="s">
        <v>291</v>
      </c>
      <c r="AT610" s="6" t="s">
        <v>227</v>
      </c>
      <c r="AU610" s="6" t="s">
        <v>102</v>
      </c>
      <c r="AY610" s="6" t="s">
        <v>161</v>
      </c>
      <c r="BE610" s="76">
        <f>IF($U$610="základní",$N$610,0)</f>
        <v>0</v>
      </c>
      <c r="BF610" s="76">
        <f>IF($U$610="snížená",$N$610,0)</f>
        <v>0</v>
      </c>
      <c r="BG610" s="76">
        <f>IF($U$610="zákl. přenesená",$N$610,0)</f>
        <v>0</v>
      </c>
      <c r="BH610" s="76">
        <f>IF($U$610="sníž. přenesená",$N$610,0)</f>
        <v>0</v>
      </c>
      <c r="BI610" s="76">
        <f>IF($U$610="nulová",$N$610,0)</f>
        <v>0</v>
      </c>
      <c r="BJ610" s="6" t="s">
        <v>16</v>
      </c>
      <c r="BK610" s="76">
        <f>ROUND($L$610*$K$610,2)</f>
        <v>0</v>
      </c>
    </row>
    <row r="611" spans="2:63" s="6" customFormat="1" ht="27" customHeight="1">
      <c r="B611" s="20"/>
      <c r="C611" s="117" t="s">
        <v>636</v>
      </c>
      <c r="D611" s="117" t="s">
        <v>162</v>
      </c>
      <c r="E611" s="118" t="s">
        <v>637</v>
      </c>
      <c r="F611" s="204" t="s">
        <v>638</v>
      </c>
      <c r="G611" s="205"/>
      <c r="H611" s="205"/>
      <c r="I611" s="205"/>
      <c r="J611" s="119" t="s">
        <v>249</v>
      </c>
      <c r="K611" s="120">
        <v>4</v>
      </c>
      <c r="L611" s="206">
        <v>0</v>
      </c>
      <c r="M611" s="205"/>
      <c r="N611" s="207">
        <f>ROUND($L$611*$K$611,2)</f>
        <v>0</v>
      </c>
      <c r="O611" s="205"/>
      <c r="P611" s="205"/>
      <c r="Q611" s="205"/>
      <c r="R611" s="21"/>
      <c r="T611" s="121"/>
      <c r="U611" s="27" t="s">
        <v>37</v>
      </c>
      <c r="V611" s="122">
        <v>0.3</v>
      </c>
      <c r="W611" s="122">
        <f>$V$611*$K$611</f>
        <v>1.2</v>
      </c>
      <c r="X611" s="122">
        <v>0</v>
      </c>
      <c r="Y611" s="122">
        <f>$X$611*$K$611</f>
        <v>0</v>
      </c>
      <c r="Z611" s="122">
        <v>0.0169</v>
      </c>
      <c r="AA611" s="123">
        <f>$Z$611*$K$611</f>
        <v>0.0676</v>
      </c>
      <c r="AR611" s="6" t="s">
        <v>221</v>
      </c>
      <c r="AT611" s="6" t="s">
        <v>162</v>
      </c>
      <c r="AU611" s="6" t="s">
        <v>102</v>
      </c>
      <c r="AY611" s="6" t="s">
        <v>161</v>
      </c>
      <c r="BE611" s="76">
        <f>IF($U$611="základní",$N$611,0)</f>
        <v>0</v>
      </c>
      <c r="BF611" s="76">
        <f>IF($U$611="snížená",$N$611,0)</f>
        <v>0</v>
      </c>
      <c r="BG611" s="76">
        <f>IF($U$611="zákl. přenesená",$N$611,0)</f>
        <v>0</v>
      </c>
      <c r="BH611" s="76">
        <f>IF($U$611="sníž. přenesená",$N$611,0)</f>
        <v>0</v>
      </c>
      <c r="BI611" s="76">
        <f>IF($U$611="nulová",$N$611,0)</f>
        <v>0</v>
      </c>
      <c r="BJ611" s="6" t="s">
        <v>16</v>
      </c>
      <c r="BK611" s="76">
        <f>ROUND($L$611*$K$611,2)</f>
        <v>0</v>
      </c>
    </row>
    <row r="612" spans="2:63" s="6" customFormat="1" ht="27" customHeight="1">
      <c r="B612" s="20"/>
      <c r="C612" s="117" t="s">
        <v>639</v>
      </c>
      <c r="D612" s="117" t="s">
        <v>162</v>
      </c>
      <c r="E612" s="118" t="s">
        <v>640</v>
      </c>
      <c r="F612" s="204" t="s">
        <v>641</v>
      </c>
      <c r="G612" s="205"/>
      <c r="H612" s="205"/>
      <c r="I612" s="205"/>
      <c r="J612" s="119" t="s">
        <v>224</v>
      </c>
      <c r="K612" s="120">
        <v>3.132</v>
      </c>
      <c r="L612" s="206">
        <v>0</v>
      </c>
      <c r="M612" s="205"/>
      <c r="N612" s="207">
        <f>ROUND($L$612*$K$612,2)</f>
        <v>0</v>
      </c>
      <c r="O612" s="205"/>
      <c r="P612" s="205"/>
      <c r="Q612" s="205"/>
      <c r="R612" s="21"/>
      <c r="T612" s="121"/>
      <c r="U612" s="27" t="s">
        <v>37</v>
      </c>
      <c r="V612" s="122">
        <v>2.46</v>
      </c>
      <c r="W612" s="122">
        <f>$V$612*$K$612</f>
        <v>7.70472</v>
      </c>
      <c r="X612" s="122">
        <v>0</v>
      </c>
      <c r="Y612" s="122">
        <f>$X$612*$K$612</f>
        <v>0</v>
      </c>
      <c r="Z612" s="122">
        <v>0</v>
      </c>
      <c r="AA612" s="123">
        <f>$Z$612*$K$612</f>
        <v>0</v>
      </c>
      <c r="AR612" s="6" t="s">
        <v>221</v>
      </c>
      <c r="AT612" s="6" t="s">
        <v>162</v>
      </c>
      <c r="AU612" s="6" t="s">
        <v>102</v>
      </c>
      <c r="AY612" s="6" t="s">
        <v>161</v>
      </c>
      <c r="BE612" s="76">
        <f>IF($U$612="základní",$N$612,0)</f>
        <v>0</v>
      </c>
      <c r="BF612" s="76">
        <f>IF($U$612="snížená",$N$612,0)</f>
        <v>0</v>
      </c>
      <c r="BG612" s="76">
        <f>IF($U$612="zákl. přenesená",$N$612,0)</f>
        <v>0</v>
      </c>
      <c r="BH612" s="76">
        <f>IF($U$612="sníž. přenesená",$N$612,0)</f>
        <v>0</v>
      </c>
      <c r="BI612" s="76">
        <f>IF($U$612="nulová",$N$612,0)</f>
        <v>0</v>
      </c>
      <c r="BJ612" s="6" t="s">
        <v>16</v>
      </c>
      <c r="BK612" s="76">
        <f>ROUND($L$612*$K$612,2)</f>
        <v>0</v>
      </c>
    </row>
    <row r="613" spans="2:63" s="107" customFormat="1" ht="30.75" customHeight="1">
      <c r="B613" s="108"/>
      <c r="D613" s="116" t="s">
        <v>126</v>
      </c>
      <c r="N613" s="222">
        <f>$BK$613</f>
        <v>0</v>
      </c>
      <c r="O613" s="210"/>
      <c r="P613" s="210"/>
      <c r="Q613" s="210"/>
      <c r="R613" s="111"/>
      <c r="T613" s="112"/>
      <c r="W613" s="113">
        <f>SUM($W$614:$W$636)</f>
        <v>52.80989700000001</v>
      </c>
      <c r="Y613" s="113">
        <f>SUM($Y$614:$Y$636)</f>
        <v>0.38089942000000004</v>
      </c>
      <c r="AA613" s="114">
        <f>SUM($AA$614:$AA$636)</f>
        <v>0.26696272000000004</v>
      </c>
      <c r="AR613" s="110" t="s">
        <v>102</v>
      </c>
      <c r="AT613" s="110" t="s">
        <v>71</v>
      </c>
      <c r="AU613" s="110" t="s">
        <v>16</v>
      </c>
      <c r="AY613" s="110" t="s">
        <v>161</v>
      </c>
      <c r="BK613" s="115">
        <f>SUM($BK$614:$BK$636)</f>
        <v>0</v>
      </c>
    </row>
    <row r="614" spans="2:63" s="6" customFormat="1" ht="27" customHeight="1">
      <c r="B614" s="20"/>
      <c r="C614" s="117" t="s">
        <v>642</v>
      </c>
      <c r="D614" s="117" t="s">
        <v>162</v>
      </c>
      <c r="E614" s="118" t="s">
        <v>643</v>
      </c>
      <c r="F614" s="204" t="s">
        <v>644</v>
      </c>
      <c r="G614" s="205"/>
      <c r="H614" s="205"/>
      <c r="I614" s="205"/>
      <c r="J614" s="119" t="s">
        <v>174</v>
      </c>
      <c r="K614" s="120">
        <v>45.566</v>
      </c>
      <c r="L614" s="206">
        <v>0</v>
      </c>
      <c r="M614" s="205"/>
      <c r="N614" s="207">
        <f>ROUND($L$614*$K$614,2)</f>
        <v>0</v>
      </c>
      <c r="O614" s="205"/>
      <c r="P614" s="205"/>
      <c r="Q614" s="205"/>
      <c r="R614" s="21"/>
      <c r="T614" s="121"/>
      <c r="U614" s="27" t="s">
        <v>37</v>
      </c>
      <c r="V614" s="122">
        <v>0.855</v>
      </c>
      <c r="W614" s="122">
        <f>$V$614*$K$614</f>
        <v>38.95893</v>
      </c>
      <c r="X614" s="122">
        <v>0.00677</v>
      </c>
      <c r="Y614" s="122">
        <f>$X$614*$K$614</f>
        <v>0.30848182</v>
      </c>
      <c r="Z614" s="122">
        <v>0</v>
      </c>
      <c r="AA614" s="123">
        <f>$Z$614*$K$614</f>
        <v>0</v>
      </c>
      <c r="AR614" s="6" t="s">
        <v>221</v>
      </c>
      <c r="AT614" s="6" t="s">
        <v>162</v>
      </c>
      <c r="AU614" s="6" t="s">
        <v>102</v>
      </c>
      <c r="AY614" s="6" t="s">
        <v>161</v>
      </c>
      <c r="BE614" s="76">
        <f>IF($U$614="základní",$N$614,0)</f>
        <v>0</v>
      </c>
      <c r="BF614" s="76">
        <f>IF($U$614="snížená",$N$614,0)</f>
        <v>0</v>
      </c>
      <c r="BG614" s="76">
        <f>IF($U$614="zákl. přenesená",$N$614,0)</f>
        <v>0</v>
      </c>
      <c r="BH614" s="76">
        <f>IF($U$614="sníž. přenesená",$N$614,0)</f>
        <v>0</v>
      </c>
      <c r="BI614" s="76">
        <f>IF($U$614="nulová",$N$614,0)</f>
        <v>0</v>
      </c>
      <c r="BJ614" s="6" t="s">
        <v>16</v>
      </c>
      <c r="BK614" s="76">
        <f>ROUND($L$614*$K$614,2)</f>
        <v>0</v>
      </c>
    </row>
    <row r="615" spans="2:51" s="6" customFormat="1" ht="15.75" customHeight="1">
      <c r="B615" s="124"/>
      <c r="E615" s="125"/>
      <c r="F615" s="211" t="s">
        <v>219</v>
      </c>
      <c r="G615" s="212"/>
      <c r="H615" s="212"/>
      <c r="I615" s="212"/>
      <c r="K615" s="125"/>
      <c r="N615" s="125"/>
      <c r="R615" s="126"/>
      <c r="T615" s="127"/>
      <c r="AA615" s="128"/>
      <c r="AT615" s="125" t="s">
        <v>168</v>
      </c>
      <c r="AU615" s="125" t="s">
        <v>102</v>
      </c>
      <c r="AV615" s="125" t="s">
        <v>16</v>
      </c>
      <c r="AW615" s="125" t="s">
        <v>112</v>
      </c>
      <c r="AX615" s="125" t="s">
        <v>72</v>
      </c>
      <c r="AY615" s="125" t="s">
        <v>161</v>
      </c>
    </row>
    <row r="616" spans="2:51" s="6" customFormat="1" ht="15.75" customHeight="1">
      <c r="B616" s="129"/>
      <c r="E616" s="130"/>
      <c r="F616" s="213" t="s">
        <v>586</v>
      </c>
      <c r="G616" s="214"/>
      <c r="H616" s="214"/>
      <c r="I616" s="214"/>
      <c r="K616" s="131">
        <v>24.304</v>
      </c>
      <c r="N616" s="130"/>
      <c r="R616" s="132"/>
      <c r="T616" s="133"/>
      <c r="AA616" s="134"/>
      <c r="AT616" s="130" t="s">
        <v>168</v>
      </c>
      <c r="AU616" s="130" t="s">
        <v>102</v>
      </c>
      <c r="AV616" s="130" t="s">
        <v>102</v>
      </c>
      <c r="AW616" s="130" t="s">
        <v>112</v>
      </c>
      <c r="AX616" s="130" t="s">
        <v>72</v>
      </c>
      <c r="AY616" s="130" t="s">
        <v>161</v>
      </c>
    </row>
    <row r="617" spans="2:51" s="6" customFormat="1" ht="15.75" customHeight="1">
      <c r="B617" s="129"/>
      <c r="E617" s="130"/>
      <c r="F617" s="213" t="s">
        <v>587</v>
      </c>
      <c r="G617" s="214"/>
      <c r="H617" s="214"/>
      <c r="I617" s="214"/>
      <c r="K617" s="131">
        <v>21.262</v>
      </c>
      <c r="N617" s="130"/>
      <c r="R617" s="132"/>
      <c r="T617" s="133"/>
      <c r="AA617" s="134"/>
      <c r="AT617" s="130" t="s">
        <v>168</v>
      </c>
      <c r="AU617" s="130" t="s">
        <v>102</v>
      </c>
      <c r="AV617" s="130" t="s">
        <v>102</v>
      </c>
      <c r="AW617" s="130" t="s">
        <v>112</v>
      </c>
      <c r="AX617" s="130" t="s">
        <v>72</v>
      </c>
      <c r="AY617" s="130" t="s">
        <v>161</v>
      </c>
    </row>
    <row r="618" spans="2:51" s="6" customFormat="1" ht="15.75" customHeight="1">
      <c r="B618" s="135"/>
      <c r="E618" s="136"/>
      <c r="F618" s="215" t="s">
        <v>171</v>
      </c>
      <c r="G618" s="216"/>
      <c r="H618" s="216"/>
      <c r="I618" s="216"/>
      <c r="K618" s="137">
        <v>45.566</v>
      </c>
      <c r="N618" s="136"/>
      <c r="R618" s="138"/>
      <c r="T618" s="139"/>
      <c r="AA618" s="140"/>
      <c r="AT618" s="136" t="s">
        <v>168</v>
      </c>
      <c r="AU618" s="136" t="s">
        <v>102</v>
      </c>
      <c r="AV618" s="136" t="s">
        <v>166</v>
      </c>
      <c r="AW618" s="136" t="s">
        <v>112</v>
      </c>
      <c r="AX618" s="136" t="s">
        <v>16</v>
      </c>
      <c r="AY618" s="136" t="s">
        <v>161</v>
      </c>
    </row>
    <row r="619" spans="2:63" s="6" customFormat="1" ht="27" customHeight="1">
      <c r="B619" s="20"/>
      <c r="C619" s="117" t="s">
        <v>645</v>
      </c>
      <c r="D619" s="117" t="s">
        <v>162</v>
      </c>
      <c r="E619" s="118" t="s">
        <v>646</v>
      </c>
      <c r="F619" s="204" t="s">
        <v>647</v>
      </c>
      <c r="G619" s="205"/>
      <c r="H619" s="205"/>
      <c r="I619" s="205"/>
      <c r="J619" s="119" t="s">
        <v>174</v>
      </c>
      <c r="K619" s="120">
        <v>30.431</v>
      </c>
      <c r="L619" s="206">
        <v>0</v>
      </c>
      <c r="M619" s="205"/>
      <c r="N619" s="207">
        <f>ROUND($L$619*$K$619,2)</f>
        <v>0</v>
      </c>
      <c r="O619" s="205"/>
      <c r="P619" s="205"/>
      <c r="Q619" s="205"/>
      <c r="R619" s="21"/>
      <c r="T619" s="121"/>
      <c r="U619" s="27" t="s">
        <v>37</v>
      </c>
      <c r="V619" s="122">
        <v>0.08</v>
      </c>
      <c r="W619" s="122">
        <f>$V$619*$K$619</f>
        <v>2.43448</v>
      </c>
      <c r="X619" s="122">
        <v>0</v>
      </c>
      <c r="Y619" s="122">
        <f>$X$619*$K$619</f>
        <v>0</v>
      </c>
      <c r="Z619" s="122">
        <v>0.00732</v>
      </c>
      <c r="AA619" s="123">
        <f>$Z$619*$K$619</f>
        <v>0.22275492000000002</v>
      </c>
      <c r="AR619" s="6" t="s">
        <v>221</v>
      </c>
      <c r="AT619" s="6" t="s">
        <v>162</v>
      </c>
      <c r="AU619" s="6" t="s">
        <v>102</v>
      </c>
      <c r="AY619" s="6" t="s">
        <v>161</v>
      </c>
      <c r="BE619" s="76">
        <f>IF($U$619="základní",$N$619,0)</f>
        <v>0</v>
      </c>
      <c r="BF619" s="76">
        <f>IF($U$619="snížená",$N$619,0)</f>
        <v>0</v>
      </c>
      <c r="BG619" s="76">
        <f>IF($U$619="zákl. přenesená",$N$619,0)</f>
        <v>0</v>
      </c>
      <c r="BH619" s="76">
        <f>IF($U$619="sníž. přenesená",$N$619,0)</f>
        <v>0</v>
      </c>
      <c r="BI619" s="76">
        <f>IF($U$619="nulová",$N$619,0)</f>
        <v>0</v>
      </c>
      <c r="BJ619" s="6" t="s">
        <v>16</v>
      </c>
      <c r="BK619" s="76">
        <f>ROUND($L$619*$K$619,2)</f>
        <v>0</v>
      </c>
    </row>
    <row r="620" spans="2:51" s="6" customFormat="1" ht="15.75" customHeight="1">
      <c r="B620" s="124"/>
      <c r="E620" s="125"/>
      <c r="F620" s="211" t="s">
        <v>219</v>
      </c>
      <c r="G620" s="212"/>
      <c r="H620" s="212"/>
      <c r="I620" s="212"/>
      <c r="K620" s="125"/>
      <c r="N620" s="125"/>
      <c r="R620" s="126"/>
      <c r="T620" s="127"/>
      <c r="AA620" s="128"/>
      <c r="AT620" s="125" t="s">
        <v>168</v>
      </c>
      <c r="AU620" s="125" t="s">
        <v>102</v>
      </c>
      <c r="AV620" s="125" t="s">
        <v>16</v>
      </c>
      <c r="AW620" s="125" t="s">
        <v>112</v>
      </c>
      <c r="AX620" s="125" t="s">
        <v>72</v>
      </c>
      <c r="AY620" s="125" t="s">
        <v>161</v>
      </c>
    </row>
    <row r="621" spans="2:51" s="6" customFormat="1" ht="15.75" customHeight="1">
      <c r="B621" s="124"/>
      <c r="E621" s="125"/>
      <c r="F621" s="211" t="s">
        <v>550</v>
      </c>
      <c r="G621" s="212"/>
      <c r="H621" s="212"/>
      <c r="I621" s="212"/>
      <c r="K621" s="125"/>
      <c r="N621" s="125"/>
      <c r="R621" s="126"/>
      <c r="T621" s="127"/>
      <c r="AA621" s="128"/>
      <c r="AT621" s="125" t="s">
        <v>168</v>
      </c>
      <c r="AU621" s="125" t="s">
        <v>102</v>
      </c>
      <c r="AV621" s="125" t="s">
        <v>16</v>
      </c>
      <c r="AW621" s="125" t="s">
        <v>112</v>
      </c>
      <c r="AX621" s="125" t="s">
        <v>72</v>
      </c>
      <c r="AY621" s="125" t="s">
        <v>161</v>
      </c>
    </row>
    <row r="622" spans="2:51" s="6" customFormat="1" ht="15.75" customHeight="1">
      <c r="B622" s="129"/>
      <c r="E622" s="130"/>
      <c r="F622" s="213" t="s">
        <v>595</v>
      </c>
      <c r="G622" s="214"/>
      <c r="H622" s="214"/>
      <c r="I622" s="214"/>
      <c r="K622" s="131">
        <v>17.404</v>
      </c>
      <c r="N622" s="130"/>
      <c r="R622" s="132"/>
      <c r="T622" s="133"/>
      <c r="AA622" s="134"/>
      <c r="AT622" s="130" t="s">
        <v>168</v>
      </c>
      <c r="AU622" s="130" t="s">
        <v>102</v>
      </c>
      <c r="AV622" s="130" t="s">
        <v>102</v>
      </c>
      <c r="AW622" s="130" t="s">
        <v>112</v>
      </c>
      <c r="AX622" s="130" t="s">
        <v>72</v>
      </c>
      <c r="AY622" s="130" t="s">
        <v>161</v>
      </c>
    </row>
    <row r="623" spans="2:51" s="6" customFormat="1" ht="15.75" customHeight="1">
      <c r="B623" s="129"/>
      <c r="E623" s="130"/>
      <c r="F623" s="213" t="s">
        <v>596</v>
      </c>
      <c r="G623" s="214"/>
      <c r="H623" s="214"/>
      <c r="I623" s="214"/>
      <c r="K623" s="131">
        <v>6.344</v>
      </c>
      <c r="N623" s="130"/>
      <c r="R623" s="132"/>
      <c r="T623" s="133"/>
      <c r="AA623" s="134"/>
      <c r="AT623" s="130" t="s">
        <v>168</v>
      </c>
      <c r="AU623" s="130" t="s">
        <v>102</v>
      </c>
      <c r="AV623" s="130" t="s">
        <v>102</v>
      </c>
      <c r="AW623" s="130" t="s">
        <v>112</v>
      </c>
      <c r="AX623" s="130" t="s">
        <v>72</v>
      </c>
      <c r="AY623" s="130" t="s">
        <v>161</v>
      </c>
    </row>
    <row r="624" spans="2:51" s="6" customFormat="1" ht="15.75" customHeight="1">
      <c r="B624" s="129"/>
      <c r="E624" s="130"/>
      <c r="F624" s="213" t="s">
        <v>597</v>
      </c>
      <c r="G624" s="214"/>
      <c r="H624" s="214"/>
      <c r="I624" s="214"/>
      <c r="K624" s="131">
        <v>6.683</v>
      </c>
      <c r="N624" s="130"/>
      <c r="R624" s="132"/>
      <c r="T624" s="133"/>
      <c r="AA624" s="134"/>
      <c r="AT624" s="130" t="s">
        <v>168</v>
      </c>
      <c r="AU624" s="130" t="s">
        <v>102</v>
      </c>
      <c r="AV624" s="130" t="s">
        <v>102</v>
      </c>
      <c r="AW624" s="130" t="s">
        <v>112</v>
      </c>
      <c r="AX624" s="130" t="s">
        <v>72</v>
      </c>
      <c r="AY624" s="130" t="s">
        <v>161</v>
      </c>
    </row>
    <row r="625" spans="2:51" s="6" customFormat="1" ht="15.75" customHeight="1">
      <c r="B625" s="135"/>
      <c r="E625" s="136"/>
      <c r="F625" s="215" t="s">
        <v>171</v>
      </c>
      <c r="G625" s="216"/>
      <c r="H625" s="216"/>
      <c r="I625" s="216"/>
      <c r="K625" s="137">
        <v>30.431</v>
      </c>
      <c r="N625" s="136"/>
      <c r="R625" s="138"/>
      <c r="T625" s="139"/>
      <c r="AA625" s="140"/>
      <c r="AT625" s="136" t="s">
        <v>168</v>
      </c>
      <c r="AU625" s="136" t="s">
        <v>102</v>
      </c>
      <c r="AV625" s="136" t="s">
        <v>166</v>
      </c>
      <c r="AW625" s="136" t="s">
        <v>112</v>
      </c>
      <c r="AX625" s="136" t="s">
        <v>16</v>
      </c>
      <c r="AY625" s="136" t="s">
        <v>161</v>
      </c>
    </row>
    <row r="626" spans="2:63" s="6" customFormat="1" ht="27" customHeight="1">
      <c r="B626" s="20"/>
      <c r="C626" s="117" t="s">
        <v>648</v>
      </c>
      <c r="D626" s="117" t="s">
        <v>162</v>
      </c>
      <c r="E626" s="118" t="s">
        <v>649</v>
      </c>
      <c r="F626" s="204" t="s">
        <v>650</v>
      </c>
      <c r="G626" s="205"/>
      <c r="H626" s="205"/>
      <c r="I626" s="205"/>
      <c r="J626" s="119" t="s">
        <v>245</v>
      </c>
      <c r="K626" s="120">
        <v>12.74</v>
      </c>
      <c r="L626" s="206">
        <v>0</v>
      </c>
      <c r="M626" s="205"/>
      <c r="N626" s="207">
        <f>ROUND($L$626*$K$626,2)</f>
        <v>0</v>
      </c>
      <c r="O626" s="205"/>
      <c r="P626" s="205"/>
      <c r="Q626" s="205"/>
      <c r="R626" s="21"/>
      <c r="T626" s="121"/>
      <c r="U626" s="27" t="s">
        <v>37</v>
      </c>
      <c r="V626" s="122">
        <v>0.06</v>
      </c>
      <c r="W626" s="122">
        <f>$V$626*$K$626</f>
        <v>0.7644</v>
      </c>
      <c r="X626" s="122">
        <v>0</v>
      </c>
      <c r="Y626" s="122">
        <f>$X$626*$K$626</f>
        <v>0</v>
      </c>
      <c r="Z626" s="122">
        <v>0.00347</v>
      </c>
      <c r="AA626" s="123">
        <f>$Z$626*$K$626</f>
        <v>0.0442078</v>
      </c>
      <c r="AR626" s="6" t="s">
        <v>221</v>
      </c>
      <c r="AT626" s="6" t="s">
        <v>162</v>
      </c>
      <c r="AU626" s="6" t="s">
        <v>102</v>
      </c>
      <c r="AY626" s="6" t="s">
        <v>161</v>
      </c>
      <c r="BE626" s="76">
        <f>IF($U$626="základní",$N$626,0)</f>
        <v>0</v>
      </c>
      <c r="BF626" s="76">
        <f>IF($U$626="snížená",$N$626,0)</f>
        <v>0</v>
      </c>
      <c r="BG626" s="76">
        <f>IF($U$626="zákl. přenesená",$N$626,0)</f>
        <v>0</v>
      </c>
      <c r="BH626" s="76">
        <f>IF($U$626="sníž. přenesená",$N$626,0)</f>
        <v>0</v>
      </c>
      <c r="BI626" s="76">
        <f>IF($U$626="nulová",$N$626,0)</f>
        <v>0</v>
      </c>
      <c r="BJ626" s="6" t="s">
        <v>16</v>
      </c>
      <c r="BK626" s="76">
        <f>ROUND($L$626*$K$626,2)</f>
        <v>0</v>
      </c>
    </row>
    <row r="627" spans="2:63" s="6" customFormat="1" ht="15.75" customHeight="1">
      <c r="B627" s="20"/>
      <c r="C627" s="117" t="s">
        <v>651</v>
      </c>
      <c r="D627" s="117" t="s">
        <v>162</v>
      </c>
      <c r="E627" s="118" t="s">
        <v>652</v>
      </c>
      <c r="F627" s="204" t="s">
        <v>653</v>
      </c>
      <c r="G627" s="205"/>
      <c r="H627" s="205"/>
      <c r="I627" s="205"/>
      <c r="J627" s="119" t="s">
        <v>245</v>
      </c>
      <c r="K627" s="120">
        <v>12.74</v>
      </c>
      <c r="L627" s="206">
        <v>0</v>
      </c>
      <c r="M627" s="205"/>
      <c r="N627" s="207">
        <f>ROUND($L$627*$K$627,2)</f>
        <v>0</v>
      </c>
      <c r="O627" s="205"/>
      <c r="P627" s="205"/>
      <c r="Q627" s="205"/>
      <c r="R627" s="21"/>
      <c r="T627" s="121"/>
      <c r="U627" s="27" t="s">
        <v>37</v>
      </c>
      <c r="V627" s="122">
        <v>0.4</v>
      </c>
      <c r="W627" s="122">
        <f>$V$627*$K$627</f>
        <v>5.096</v>
      </c>
      <c r="X627" s="122">
        <v>0.00308</v>
      </c>
      <c r="Y627" s="122">
        <f>$X$627*$K$627</f>
        <v>0.0392392</v>
      </c>
      <c r="Z627" s="122">
        <v>0</v>
      </c>
      <c r="AA627" s="123">
        <f>$Z$627*$K$627</f>
        <v>0</v>
      </c>
      <c r="AR627" s="6" t="s">
        <v>221</v>
      </c>
      <c r="AT627" s="6" t="s">
        <v>162</v>
      </c>
      <c r="AU627" s="6" t="s">
        <v>102</v>
      </c>
      <c r="AY627" s="6" t="s">
        <v>161</v>
      </c>
      <c r="BE627" s="76">
        <f>IF($U$627="základní",$N$627,0)</f>
        <v>0</v>
      </c>
      <c r="BF627" s="76">
        <f>IF($U$627="snížená",$N$627,0)</f>
        <v>0</v>
      </c>
      <c r="BG627" s="76">
        <f>IF($U$627="zákl. přenesená",$N$627,0)</f>
        <v>0</v>
      </c>
      <c r="BH627" s="76">
        <f>IF($U$627="sníž. přenesená",$N$627,0)</f>
        <v>0</v>
      </c>
      <c r="BI627" s="76">
        <f>IF($U$627="nulová",$N$627,0)</f>
        <v>0</v>
      </c>
      <c r="BJ627" s="6" t="s">
        <v>16</v>
      </c>
      <c r="BK627" s="76">
        <f>ROUND($L$627*$K$627,2)</f>
        <v>0</v>
      </c>
    </row>
    <row r="628" spans="2:51" s="6" customFormat="1" ht="15.75" customHeight="1">
      <c r="B628" s="124"/>
      <c r="E628" s="125"/>
      <c r="F628" s="211" t="s">
        <v>219</v>
      </c>
      <c r="G628" s="212"/>
      <c r="H628" s="212"/>
      <c r="I628" s="212"/>
      <c r="K628" s="125"/>
      <c r="N628" s="125"/>
      <c r="R628" s="126"/>
      <c r="T628" s="127"/>
      <c r="AA628" s="128"/>
      <c r="AT628" s="125" t="s">
        <v>168</v>
      </c>
      <c r="AU628" s="125" t="s">
        <v>102</v>
      </c>
      <c r="AV628" s="125" t="s">
        <v>16</v>
      </c>
      <c r="AW628" s="125" t="s">
        <v>112</v>
      </c>
      <c r="AX628" s="125" t="s">
        <v>72</v>
      </c>
      <c r="AY628" s="125" t="s">
        <v>161</v>
      </c>
    </row>
    <row r="629" spans="2:51" s="6" customFormat="1" ht="15.75" customHeight="1">
      <c r="B629" s="129"/>
      <c r="E629" s="130"/>
      <c r="F629" s="213" t="s">
        <v>654</v>
      </c>
      <c r="G629" s="214"/>
      <c r="H629" s="214"/>
      <c r="I629" s="214"/>
      <c r="K629" s="131">
        <v>12.74</v>
      </c>
      <c r="N629" s="130"/>
      <c r="R629" s="132"/>
      <c r="T629" s="133"/>
      <c r="AA629" s="134"/>
      <c r="AT629" s="130" t="s">
        <v>168</v>
      </c>
      <c r="AU629" s="130" t="s">
        <v>102</v>
      </c>
      <c r="AV629" s="130" t="s">
        <v>102</v>
      </c>
      <c r="AW629" s="130" t="s">
        <v>112</v>
      </c>
      <c r="AX629" s="130" t="s">
        <v>16</v>
      </c>
      <c r="AY629" s="130" t="s">
        <v>161</v>
      </c>
    </row>
    <row r="630" spans="2:63" s="6" customFormat="1" ht="27" customHeight="1">
      <c r="B630" s="20"/>
      <c r="C630" s="117" t="s">
        <v>655</v>
      </c>
      <c r="D630" s="117" t="s">
        <v>162</v>
      </c>
      <c r="E630" s="118" t="s">
        <v>656</v>
      </c>
      <c r="F630" s="204" t="s">
        <v>657</v>
      </c>
      <c r="G630" s="205"/>
      <c r="H630" s="205"/>
      <c r="I630" s="205"/>
      <c r="J630" s="119" t="s">
        <v>249</v>
      </c>
      <c r="K630" s="120">
        <v>2</v>
      </c>
      <c r="L630" s="206">
        <v>0</v>
      </c>
      <c r="M630" s="205"/>
      <c r="N630" s="207">
        <f>ROUND($L$630*$K$630,2)</f>
        <v>0</v>
      </c>
      <c r="O630" s="205"/>
      <c r="P630" s="205"/>
      <c r="Q630" s="205"/>
      <c r="R630" s="21"/>
      <c r="T630" s="121"/>
      <c r="U630" s="27" t="s">
        <v>37</v>
      </c>
      <c r="V630" s="122">
        <v>0.445</v>
      </c>
      <c r="W630" s="122">
        <f>$V$630*$K$630</f>
        <v>0.89</v>
      </c>
      <c r="X630" s="122">
        <v>0.00316</v>
      </c>
      <c r="Y630" s="122">
        <f>$X$630*$K$630</f>
        <v>0.00632</v>
      </c>
      <c r="Z630" s="122">
        <v>0</v>
      </c>
      <c r="AA630" s="123">
        <f>$Z$630*$K$630</f>
        <v>0</v>
      </c>
      <c r="AR630" s="6" t="s">
        <v>221</v>
      </c>
      <c r="AT630" s="6" t="s">
        <v>162</v>
      </c>
      <c r="AU630" s="6" t="s">
        <v>102</v>
      </c>
      <c r="AY630" s="6" t="s">
        <v>161</v>
      </c>
      <c r="BE630" s="76">
        <f>IF($U$630="základní",$N$630,0)</f>
        <v>0</v>
      </c>
      <c r="BF630" s="76">
        <f>IF($U$630="snížená",$N$630,0)</f>
        <v>0</v>
      </c>
      <c r="BG630" s="76">
        <f>IF($U$630="zákl. přenesená",$N$630,0)</f>
        <v>0</v>
      </c>
      <c r="BH630" s="76">
        <f>IF($U$630="sníž. přenesená",$N$630,0)</f>
        <v>0</v>
      </c>
      <c r="BI630" s="76">
        <f>IF($U$630="nulová",$N$630,0)</f>
        <v>0</v>
      </c>
      <c r="BJ630" s="6" t="s">
        <v>16</v>
      </c>
      <c r="BK630" s="76">
        <f>ROUND($L$630*$K$630,2)</f>
        <v>0</v>
      </c>
    </row>
    <row r="631" spans="2:63" s="6" customFormat="1" ht="15.75" customHeight="1">
      <c r="B631" s="20"/>
      <c r="C631" s="117" t="s">
        <v>658</v>
      </c>
      <c r="D631" s="117" t="s">
        <v>162</v>
      </c>
      <c r="E631" s="118" t="s">
        <v>659</v>
      </c>
      <c r="F631" s="204" t="s">
        <v>660</v>
      </c>
      <c r="G631" s="205"/>
      <c r="H631" s="205"/>
      <c r="I631" s="205"/>
      <c r="J631" s="119" t="s">
        <v>245</v>
      </c>
      <c r="K631" s="120">
        <v>8.72</v>
      </c>
      <c r="L631" s="206">
        <v>0</v>
      </c>
      <c r="M631" s="205"/>
      <c r="N631" s="207">
        <f>ROUND($L$631*$K$631,2)</f>
        <v>0</v>
      </c>
      <c r="O631" s="205"/>
      <c r="P631" s="205"/>
      <c r="Q631" s="205"/>
      <c r="R631" s="21"/>
      <c r="T631" s="121"/>
      <c r="U631" s="27" t="s">
        <v>37</v>
      </c>
      <c r="V631" s="122">
        <v>0.274</v>
      </c>
      <c r="W631" s="122">
        <f>$V$631*$K$631</f>
        <v>2.3892800000000003</v>
      </c>
      <c r="X631" s="122">
        <v>0.00277</v>
      </c>
      <c r="Y631" s="122">
        <f>$X$631*$K$631</f>
        <v>0.0241544</v>
      </c>
      <c r="Z631" s="122">
        <v>0</v>
      </c>
      <c r="AA631" s="123">
        <f>$Z$631*$K$631</f>
        <v>0</v>
      </c>
      <c r="AR631" s="6" t="s">
        <v>221</v>
      </c>
      <c r="AT631" s="6" t="s">
        <v>162</v>
      </c>
      <c r="AU631" s="6" t="s">
        <v>102</v>
      </c>
      <c r="AY631" s="6" t="s">
        <v>161</v>
      </c>
      <c r="BE631" s="76">
        <f>IF($U$631="základní",$N$631,0)</f>
        <v>0</v>
      </c>
      <c r="BF631" s="76">
        <f>IF($U$631="snížená",$N$631,0)</f>
        <v>0</v>
      </c>
      <c r="BG631" s="76">
        <f>IF($U$631="zákl. přenesená",$N$631,0)</f>
        <v>0</v>
      </c>
      <c r="BH631" s="76">
        <f>IF($U$631="sníž. přenesená",$N$631,0)</f>
        <v>0</v>
      </c>
      <c r="BI631" s="76">
        <f>IF($U$631="nulová",$N$631,0)</f>
        <v>0</v>
      </c>
      <c r="BJ631" s="6" t="s">
        <v>16</v>
      </c>
      <c r="BK631" s="76">
        <f>ROUND($L$631*$K$631,2)</f>
        <v>0</v>
      </c>
    </row>
    <row r="632" spans="2:51" s="6" customFormat="1" ht="15.75" customHeight="1">
      <c r="B632" s="124"/>
      <c r="E632" s="125"/>
      <c r="F632" s="211" t="s">
        <v>219</v>
      </c>
      <c r="G632" s="212"/>
      <c r="H632" s="212"/>
      <c r="I632" s="212"/>
      <c r="K632" s="125"/>
      <c r="N632" s="125"/>
      <c r="R632" s="126"/>
      <c r="T632" s="127"/>
      <c r="AA632" s="128"/>
      <c r="AT632" s="125" t="s">
        <v>168</v>
      </c>
      <c r="AU632" s="125" t="s">
        <v>102</v>
      </c>
      <c r="AV632" s="125" t="s">
        <v>16</v>
      </c>
      <c r="AW632" s="125" t="s">
        <v>112</v>
      </c>
      <c r="AX632" s="125" t="s">
        <v>72</v>
      </c>
      <c r="AY632" s="125" t="s">
        <v>161</v>
      </c>
    </row>
    <row r="633" spans="2:51" s="6" customFormat="1" ht="15.75" customHeight="1">
      <c r="B633" s="129"/>
      <c r="E633" s="130"/>
      <c r="F633" s="213" t="s">
        <v>661</v>
      </c>
      <c r="G633" s="214"/>
      <c r="H633" s="214"/>
      <c r="I633" s="214"/>
      <c r="K633" s="131">
        <v>8.72</v>
      </c>
      <c r="N633" s="130"/>
      <c r="R633" s="132"/>
      <c r="T633" s="133"/>
      <c r="AA633" s="134"/>
      <c r="AT633" s="130" t="s">
        <v>168</v>
      </c>
      <c r="AU633" s="130" t="s">
        <v>102</v>
      </c>
      <c r="AV633" s="130" t="s">
        <v>102</v>
      </c>
      <c r="AW633" s="130" t="s">
        <v>112</v>
      </c>
      <c r="AX633" s="130" t="s">
        <v>16</v>
      </c>
      <c r="AY633" s="130" t="s">
        <v>161</v>
      </c>
    </row>
    <row r="634" spans="2:63" s="6" customFormat="1" ht="27" customHeight="1">
      <c r="B634" s="20"/>
      <c r="C634" s="117" t="s">
        <v>662</v>
      </c>
      <c r="D634" s="117" t="s">
        <v>162</v>
      </c>
      <c r="E634" s="118" t="s">
        <v>663</v>
      </c>
      <c r="F634" s="204" t="s">
        <v>664</v>
      </c>
      <c r="G634" s="205"/>
      <c r="H634" s="205"/>
      <c r="I634" s="205"/>
      <c r="J634" s="119" t="s">
        <v>245</v>
      </c>
      <c r="K634" s="120">
        <v>1.6</v>
      </c>
      <c r="L634" s="206">
        <v>0</v>
      </c>
      <c r="M634" s="205"/>
      <c r="N634" s="207">
        <f>ROUND($L$634*$K$634,2)</f>
        <v>0</v>
      </c>
      <c r="O634" s="205"/>
      <c r="P634" s="205"/>
      <c r="Q634" s="205"/>
      <c r="R634" s="21"/>
      <c r="T634" s="121"/>
      <c r="U634" s="27" t="s">
        <v>37</v>
      </c>
      <c r="V634" s="122">
        <v>0.245</v>
      </c>
      <c r="W634" s="122">
        <f>$V$634*$K$634</f>
        <v>0.392</v>
      </c>
      <c r="X634" s="122">
        <v>0.00169</v>
      </c>
      <c r="Y634" s="122">
        <f>$X$634*$K$634</f>
        <v>0.0027040000000000002</v>
      </c>
      <c r="Z634" s="122">
        <v>0</v>
      </c>
      <c r="AA634" s="123">
        <f>$Z$634*$K$634</f>
        <v>0</v>
      </c>
      <c r="AR634" s="6" t="s">
        <v>221</v>
      </c>
      <c r="AT634" s="6" t="s">
        <v>162</v>
      </c>
      <c r="AU634" s="6" t="s">
        <v>102</v>
      </c>
      <c r="AY634" s="6" t="s">
        <v>161</v>
      </c>
      <c r="BE634" s="76">
        <f>IF($U$634="základní",$N$634,0)</f>
        <v>0</v>
      </c>
      <c r="BF634" s="76">
        <f>IF($U$634="snížená",$N$634,0)</f>
        <v>0</v>
      </c>
      <c r="BG634" s="76">
        <f>IF($U$634="zákl. přenesená",$N$634,0)</f>
        <v>0</v>
      </c>
      <c r="BH634" s="76">
        <f>IF($U$634="sníž. přenesená",$N$634,0)</f>
        <v>0</v>
      </c>
      <c r="BI634" s="76">
        <f>IF($U$634="nulová",$N$634,0)</f>
        <v>0</v>
      </c>
      <c r="BJ634" s="6" t="s">
        <v>16</v>
      </c>
      <c r="BK634" s="76">
        <f>ROUND($L$634*$K$634,2)</f>
        <v>0</v>
      </c>
    </row>
    <row r="635" spans="2:51" s="6" customFormat="1" ht="15.75" customHeight="1">
      <c r="B635" s="129"/>
      <c r="E635" s="130"/>
      <c r="F635" s="213" t="s">
        <v>455</v>
      </c>
      <c r="G635" s="214"/>
      <c r="H635" s="214"/>
      <c r="I635" s="214"/>
      <c r="K635" s="131">
        <v>1.6</v>
      </c>
      <c r="N635" s="130"/>
      <c r="R635" s="132"/>
      <c r="T635" s="133"/>
      <c r="AA635" s="134"/>
      <c r="AT635" s="130" t="s">
        <v>168</v>
      </c>
      <c r="AU635" s="130" t="s">
        <v>102</v>
      </c>
      <c r="AV635" s="130" t="s">
        <v>102</v>
      </c>
      <c r="AW635" s="130" t="s">
        <v>112</v>
      </c>
      <c r="AX635" s="130" t="s">
        <v>16</v>
      </c>
      <c r="AY635" s="130" t="s">
        <v>161</v>
      </c>
    </row>
    <row r="636" spans="2:63" s="6" customFormat="1" ht="27" customHeight="1">
      <c r="B636" s="20"/>
      <c r="C636" s="117" t="s">
        <v>665</v>
      </c>
      <c r="D636" s="117" t="s">
        <v>162</v>
      </c>
      <c r="E636" s="118" t="s">
        <v>666</v>
      </c>
      <c r="F636" s="204" t="s">
        <v>667</v>
      </c>
      <c r="G636" s="205"/>
      <c r="H636" s="205"/>
      <c r="I636" s="205"/>
      <c r="J636" s="119" t="s">
        <v>224</v>
      </c>
      <c r="K636" s="120">
        <v>0.381</v>
      </c>
      <c r="L636" s="206">
        <v>0</v>
      </c>
      <c r="M636" s="205"/>
      <c r="N636" s="207">
        <f>ROUND($L$636*$K$636,2)</f>
        <v>0</v>
      </c>
      <c r="O636" s="205"/>
      <c r="P636" s="205"/>
      <c r="Q636" s="205"/>
      <c r="R636" s="21"/>
      <c r="T636" s="121"/>
      <c r="U636" s="27" t="s">
        <v>37</v>
      </c>
      <c r="V636" s="122">
        <v>4.947</v>
      </c>
      <c r="W636" s="122">
        <f>$V$636*$K$636</f>
        <v>1.8848070000000001</v>
      </c>
      <c r="X636" s="122">
        <v>0</v>
      </c>
      <c r="Y636" s="122">
        <f>$X$636*$K$636</f>
        <v>0</v>
      </c>
      <c r="Z636" s="122">
        <v>0</v>
      </c>
      <c r="AA636" s="123">
        <f>$Z$636*$K$636</f>
        <v>0</v>
      </c>
      <c r="AR636" s="6" t="s">
        <v>221</v>
      </c>
      <c r="AT636" s="6" t="s">
        <v>162</v>
      </c>
      <c r="AU636" s="6" t="s">
        <v>102</v>
      </c>
      <c r="AY636" s="6" t="s">
        <v>161</v>
      </c>
      <c r="BE636" s="76">
        <f>IF($U$636="základní",$N$636,0)</f>
        <v>0</v>
      </c>
      <c r="BF636" s="76">
        <f>IF($U$636="snížená",$N$636,0)</f>
        <v>0</v>
      </c>
      <c r="BG636" s="76">
        <f>IF($U$636="zákl. přenesená",$N$636,0)</f>
        <v>0</v>
      </c>
      <c r="BH636" s="76">
        <f>IF($U$636="sníž. přenesená",$N$636,0)</f>
        <v>0</v>
      </c>
      <c r="BI636" s="76">
        <f>IF($U$636="nulová",$N$636,0)</f>
        <v>0</v>
      </c>
      <c r="BJ636" s="6" t="s">
        <v>16</v>
      </c>
      <c r="BK636" s="76">
        <f>ROUND($L$636*$K$636,2)</f>
        <v>0</v>
      </c>
    </row>
    <row r="637" spans="2:63" s="107" customFormat="1" ht="30.75" customHeight="1">
      <c r="B637" s="108"/>
      <c r="D637" s="116" t="s">
        <v>127</v>
      </c>
      <c r="N637" s="222">
        <f>$BK$637</f>
        <v>0</v>
      </c>
      <c r="O637" s="210"/>
      <c r="P637" s="210"/>
      <c r="Q637" s="210"/>
      <c r="R637" s="111"/>
      <c r="T637" s="112"/>
      <c r="W637" s="113">
        <f>SUM($W$638:$W$657)</f>
        <v>11.090132</v>
      </c>
      <c r="Y637" s="113">
        <f>SUM($Y$638:$Y$657)</f>
        <v>0.02769638</v>
      </c>
      <c r="AA637" s="114">
        <f>SUM($AA$638:$AA$657)</f>
        <v>0.32482177</v>
      </c>
      <c r="AR637" s="110" t="s">
        <v>102</v>
      </c>
      <c r="AT637" s="110" t="s">
        <v>71</v>
      </c>
      <c r="AU637" s="110" t="s">
        <v>16</v>
      </c>
      <c r="AY637" s="110" t="s">
        <v>161</v>
      </c>
      <c r="BK637" s="115">
        <f>SUM($BK$638:$BK$657)</f>
        <v>0</v>
      </c>
    </row>
    <row r="638" spans="2:63" s="6" customFormat="1" ht="39" customHeight="1">
      <c r="B638" s="20"/>
      <c r="C638" s="117" t="s">
        <v>668</v>
      </c>
      <c r="D638" s="117" t="s">
        <v>162</v>
      </c>
      <c r="E638" s="118" t="s">
        <v>669</v>
      </c>
      <c r="F638" s="204" t="s">
        <v>670</v>
      </c>
      <c r="G638" s="205"/>
      <c r="H638" s="205"/>
      <c r="I638" s="205"/>
      <c r="J638" s="119" t="s">
        <v>174</v>
      </c>
      <c r="K638" s="120">
        <v>6</v>
      </c>
      <c r="L638" s="206">
        <v>0</v>
      </c>
      <c r="M638" s="205"/>
      <c r="N638" s="207">
        <f>ROUND($L$638*$K$638,2)</f>
        <v>0</v>
      </c>
      <c r="O638" s="205"/>
      <c r="P638" s="205"/>
      <c r="Q638" s="205"/>
      <c r="R638" s="21"/>
      <c r="T638" s="121"/>
      <c r="U638" s="27" t="s">
        <v>37</v>
      </c>
      <c r="V638" s="122">
        <v>0.658</v>
      </c>
      <c r="W638" s="122">
        <f>$V$638*$K$638</f>
        <v>3.9480000000000004</v>
      </c>
      <c r="X638" s="122">
        <v>0.00018</v>
      </c>
      <c r="Y638" s="122">
        <f>$X$638*$K$638</f>
        <v>0.00108</v>
      </c>
      <c r="Z638" s="122">
        <v>0</v>
      </c>
      <c r="AA638" s="123">
        <f>$Z$638*$K$638</f>
        <v>0</v>
      </c>
      <c r="AR638" s="6" t="s">
        <v>221</v>
      </c>
      <c r="AT638" s="6" t="s">
        <v>162</v>
      </c>
      <c r="AU638" s="6" t="s">
        <v>102</v>
      </c>
      <c r="AY638" s="6" t="s">
        <v>161</v>
      </c>
      <c r="BE638" s="76">
        <f>IF($U$638="základní",$N$638,0)</f>
        <v>0</v>
      </c>
      <c r="BF638" s="76">
        <f>IF($U$638="snížená",$N$638,0)</f>
        <v>0</v>
      </c>
      <c r="BG638" s="76">
        <f>IF($U$638="zákl. přenesená",$N$638,0)</f>
        <v>0</v>
      </c>
      <c r="BH638" s="76">
        <f>IF($U$638="sníž. přenesená",$N$638,0)</f>
        <v>0</v>
      </c>
      <c r="BI638" s="76">
        <f>IF($U$638="nulová",$N$638,0)</f>
        <v>0</v>
      </c>
      <c r="BJ638" s="6" t="s">
        <v>16</v>
      </c>
      <c r="BK638" s="76">
        <f>ROUND($L$638*$K$638,2)</f>
        <v>0</v>
      </c>
    </row>
    <row r="639" spans="2:51" s="6" customFormat="1" ht="15.75" customHeight="1">
      <c r="B639" s="124"/>
      <c r="E639" s="125"/>
      <c r="F639" s="211" t="s">
        <v>671</v>
      </c>
      <c r="G639" s="212"/>
      <c r="H639" s="212"/>
      <c r="I639" s="212"/>
      <c r="K639" s="125"/>
      <c r="N639" s="125"/>
      <c r="R639" s="126"/>
      <c r="T639" s="127"/>
      <c r="AA639" s="128"/>
      <c r="AT639" s="125" t="s">
        <v>168</v>
      </c>
      <c r="AU639" s="125" t="s">
        <v>102</v>
      </c>
      <c r="AV639" s="125" t="s">
        <v>16</v>
      </c>
      <c r="AW639" s="125" t="s">
        <v>112</v>
      </c>
      <c r="AX639" s="125" t="s">
        <v>72</v>
      </c>
      <c r="AY639" s="125" t="s">
        <v>161</v>
      </c>
    </row>
    <row r="640" spans="2:51" s="6" customFormat="1" ht="15.75" customHeight="1">
      <c r="B640" s="129"/>
      <c r="E640" s="130"/>
      <c r="F640" s="213" t="s">
        <v>672</v>
      </c>
      <c r="G640" s="214"/>
      <c r="H640" s="214"/>
      <c r="I640" s="214"/>
      <c r="K640" s="131">
        <v>6</v>
      </c>
      <c r="N640" s="130"/>
      <c r="R640" s="132"/>
      <c r="T640" s="133"/>
      <c r="AA640" s="134"/>
      <c r="AT640" s="130" t="s">
        <v>168</v>
      </c>
      <c r="AU640" s="130" t="s">
        <v>102</v>
      </c>
      <c r="AV640" s="130" t="s">
        <v>102</v>
      </c>
      <c r="AW640" s="130" t="s">
        <v>112</v>
      </c>
      <c r="AX640" s="130" t="s">
        <v>72</v>
      </c>
      <c r="AY640" s="130" t="s">
        <v>161</v>
      </c>
    </row>
    <row r="641" spans="2:51" s="6" customFormat="1" ht="15.75" customHeight="1">
      <c r="B641" s="135"/>
      <c r="E641" s="136"/>
      <c r="F641" s="215" t="s">
        <v>171</v>
      </c>
      <c r="G641" s="216"/>
      <c r="H641" s="216"/>
      <c r="I641" s="216"/>
      <c r="K641" s="137">
        <v>6</v>
      </c>
      <c r="N641" s="136"/>
      <c r="R641" s="138"/>
      <c r="T641" s="139"/>
      <c r="AA641" s="140"/>
      <c r="AT641" s="136" t="s">
        <v>168</v>
      </c>
      <c r="AU641" s="136" t="s">
        <v>102</v>
      </c>
      <c r="AV641" s="136" t="s">
        <v>166</v>
      </c>
      <c r="AW641" s="136" t="s">
        <v>112</v>
      </c>
      <c r="AX641" s="136" t="s">
        <v>16</v>
      </c>
      <c r="AY641" s="136" t="s">
        <v>161</v>
      </c>
    </row>
    <row r="642" spans="2:63" s="6" customFormat="1" ht="27" customHeight="1">
      <c r="B642" s="20"/>
      <c r="C642" s="141" t="s">
        <v>673</v>
      </c>
      <c r="D642" s="141" t="s">
        <v>227</v>
      </c>
      <c r="E642" s="142" t="s">
        <v>674</v>
      </c>
      <c r="F642" s="217" t="s">
        <v>675</v>
      </c>
      <c r="G642" s="218"/>
      <c r="H642" s="218"/>
      <c r="I642" s="218"/>
      <c r="J642" s="143" t="s">
        <v>249</v>
      </c>
      <c r="K642" s="144">
        <v>6</v>
      </c>
      <c r="L642" s="219">
        <v>0</v>
      </c>
      <c r="M642" s="218"/>
      <c r="N642" s="220">
        <f>ROUND($L$642*$K$642,2)</f>
        <v>0</v>
      </c>
      <c r="O642" s="205"/>
      <c r="P642" s="205"/>
      <c r="Q642" s="205"/>
      <c r="R642" s="21"/>
      <c r="T642" s="121"/>
      <c r="U642" s="27" t="s">
        <v>37</v>
      </c>
      <c r="V642" s="122">
        <v>0</v>
      </c>
      <c r="W642" s="122">
        <f>$V$642*$K$642</f>
        <v>0</v>
      </c>
      <c r="X642" s="122">
        <v>0.00133</v>
      </c>
      <c r="Y642" s="122">
        <f>$X$642*$K$642</f>
        <v>0.007980000000000001</v>
      </c>
      <c r="Z642" s="122">
        <v>0</v>
      </c>
      <c r="AA642" s="123">
        <f>$Z$642*$K$642</f>
        <v>0</v>
      </c>
      <c r="AR642" s="6" t="s">
        <v>291</v>
      </c>
      <c r="AT642" s="6" t="s">
        <v>227</v>
      </c>
      <c r="AU642" s="6" t="s">
        <v>102</v>
      </c>
      <c r="AY642" s="6" t="s">
        <v>161</v>
      </c>
      <c r="BE642" s="76">
        <f>IF($U$642="základní",$N$642,0)</f>
        <v>0</v>
      </c>
      <c r="BF642" s="76">
        <f>IF($U$642="snížená",$N$642,0)</f>
        <v>0</v>
      </c>
      <c r="BG642" s="76">
        <f>IF($U$642="zákl. přenesená",$N$642,0)</f>
        <v>0</v>
      </c>
      <c r="BH642" s="76">
        <f>IF($U$642="sníž. přenesená",$N$642,0)</f>
        <v>0</v>
      </c>
      <c r="BI642" s="76">
        <f>IF($U$642="nulová",$N$642,0)</f>
        <v>0</v>
      </c>
      <c r="BJ642" s="6" t="s">
        <v>16</v>
      </c>
      <c r="BK642" s="76">
        <f>ROUND($L$642*$K$642,2)</f>
        <v>0</v>
      </c>
    </row>
    <row r="643" spans="2:63" s="6" customFormat="1" ht="27" customHeight="1">
      <c r="B643" s="20"/>
      <c r="C643" s="117" t="s">
        <v>676</v>
      </c>
      <c r="D643" s="117" t="s">
        <v>162</v>
      </c>
      <c r="E643" s="118" t="s">
        <v>677</v>
      </c>
      <c r="F643" s="204" t="s">
        <v>678</v>
      </c>
      <c r="G643" s="205"/>
      <c r="H643" s="205"/>
      <c r="I643" s="205"/>
      <c r="J643" s="119" t="s">
        <v>174</v>
      </c>
      <c r="K643" s="120">
        <v>19.369</v>
      </c>
      <c r="L643" s="206">
        <v>0</v>
      </c>
      <c r="M643" s="205"/>
      <c r="N643" s="207">
        <f>ROUND($L$643*$K$643,2)</f>
        <v>0</v>
      </c>
      <c r="O643" s="205"/>
      <c r="P643" s="205"/>
      <c r="Q643" s="205"/>
      <c r="R643" s="21"/>
      <c r="T643" s="121"/>
      <c r="U643" s="27" t="s">
        <v>37</v>
      </c>
      <c r="V643" s="122">
        <v>0.09</v>
      </c>
      <c r="W643" s="122">
        <f>$V$643*$K$643</f>
        <v>1.74321</v>
      </c>
      <c r="X643" s="122">
        <v>0</v>
      </c>
      <c r="Y643" s="122">
        <f>$X$643*$K$643</f>
        <v>0</v>
      </c>
      <c r="Z643" s="122">
        <v>0.01533</v>
      </c>
      <c r="AA643" s="123">
        <f>$Z$643*$K$643</f>
        <v>0.29692677</v>
      </c>
      <c r="AR643" s="6" t="s">
        <v>221</v>
      </c>
      <c r="AT643" s="6" t="s">
        <v>162</v>
      </c>
      <c r="AU643" s="6" t="s">
        <v>102</v>
      </c>
      <c r="AY643" s="6" t="s">
        <v>161</v>
      </c>
      <c r="BE643" s="76">
        <f>IF($U$643="základní",$N$643,0)</f>
        <v>0</v>
      </c>
      <c r="BF643" s="76">
        <f>IF($U$643="snížená",$N$643,0)</f>
        <v>0</v>
      </c>
      <c r="BG643" s="76">
        <f>IF($U$643="zákl. přenesená",$N$643,0)</f>
        <v>0</v>
      </c>
      <c r="BH643" s="76">
        <f>IF($U$643="sníž. přenesená",$N$643,0)</f>
        <v>0</v>
      </c>
      <c r="BI643" s="76">
        <f>IF($U$643="nulová",$N$643,0)</f>
        <v>0</v>
      </c>
      <c r="BJ643" s="6" t="s">
        <v>16</v>
      </c>
      <c r="BK643" s="76">
        <f>ROUND($L$643*$K$643,2)</f>
        <v>0</v>
      </c>
    </row>
    <row r="644" spans="2:51" s="6" customFormat="1" ht="15.75" customHeight="1">
      <c r="B644" s="124"/>
      <c r="E644" s="125"/>
      <c r="F644" s="211" t="s">
        <v>679</v>
      </c>
      <c r="G644" s="212"/>
      <c r="H644" s="212"/>
      <c r="I644" s="212"/>
      <c r="K644" s="125"/>
      <c r="N644" s="125"/>
      <c r="R644" s="126"/>
      <c r="T644" s="127"/>
      <c r="AA644" s="128"/>
      <c r="AT644" s="125" t="s">
        <v>168</v>
      </c>
      <c r="AU644" s="125" t="s">
        <v>102</v>
      </c>
      <c r="AV644" s="125" t="s">
        <v>16</v>
      </c>
      <c r="AW644" s="125" t="s">
        <v>112</v>
      </c>
      <c r="AX644" s="125" t="s">
        <v>72</v>
      </c>
      <c r="AY644" s="125" t="s">
        <v>161</v>
      </c>
    </row>
    <row r="645" spans="2:51" s="6" customFormat="1" ht="15.75" customHeight="1">
      <c r="B645" s="129"/>
      <c r="E645" s="130"/>
      <c r="F645" s="213" t="s">
        <v>680</v>
      </c>
      <c r="G645" s="214"/>
      <c r="H645" s="214"/>
      <c r="I645" s="214"/>
      <c r="K645" s="131">
        <v>2.588</v>
      </c>
      <c r="N645" s="130"/>
      <c r="R645" s="132"/>
      <c r="T645" s="133"/>
      <c r="AA645" s="134"/>
      <c r="AT645" s="130" t="s">
        <v>168</v>
      </c>
      <c r="AU645" s="130" t="s">
        <v>102</v>
      </c>
      <c r="AV645" s="130" t="s">
        <v>102</v>
      </c>
      <c r="AW645" s="130" t="s">
        <v>112</v>
      </c>
      <c r="AX645" s="130" t="s">
        <v>72</v>
      </c>
      <c r="AY645" s="130" t="s">
        <v>161</v>
      </c>
    </row>
    <row r="646" spans="2:51" s="6" customFormat="1" ht="15.75" customHeight="1">
      <c r="B646" s="129"/>
      <c r="E646" s="130"/>
      <c r="F646" s="213" t="s">
        <v>681</v>
      </c>
      <c r="G646" s="214"/>
      <c r="H646" s="214"/>
      <c r="I646" s="214"/>
      <c r="K646" s="131">
        <v>10.781</v>
      </c>
      <c r="N646" s="130"/>
      <c r="R646" s="132"/>
      <c r="T646" s="133"/>
      <c r="AA646" s="134"/>
      <c r="AT646" s="130" t="s">
        <v>168</v>
      </c>
      <c r="AU646" s="130" t="s">
        <v>102</v>
      </c>
      <c r="AV646" s="130" t="s">
        <v>102</v>
      </c>
      <c r="AW646" s="130" t="s">
        <v>112</v>
      </c>
      <c r="AX646" s="130" t="s">
        <v>72</v>
      </c>
      <c r="AY646" s="130" t="s">
        <v>161</v>
      </c>
    </row>
    <row r="647" spans="2:51" s="6" customFormat="1" ht="15.75" customHeight="1">
      <c r="B647" s="124"/>
      <c r="E647" s="125"/>
      <c r="F647" s="211" t="s">
        <v>671</v>
      </c>
      <c r="G647" s="212"/>
      <c r="H647" s="212"/>
      <c r="I647" s="212"/>
      <c r="K647" s="125"/>
      <c r="N647" s="125"/>
      <c r="R647" s="126"/>
      <c r="T647" s="127"/>
      <c r="AA647" s="128"/>
      <c r="AT647" s="125" t="s">
        <v>168</v>
      </c>
      <c r="AU647" s="125" t="s">
        <v>102</v>
      </c>
      <c r="AV647" s="125" t="s">
        <v>16</v>
      </c>
      <c r="AW647" s="125" t="s">
        <v>112</v>
      </c>
      <c r="AX647" s="125" t="s">
        <v>72</v>
      </c>
      <c r="AY647" s="125" t="s">
        <v>161</v>
      </c>
    </row>
    <row r="648" spans="2:51" s="6" customFormat="1" ht="15.75" customHeight="1">
      <c r="B648" s="129"/>
      <c r="E648" s="130"/>
      <c r="F648" s="213" t="s">
        <v>672</v>
      </c>
      <c r="G648" s="214"/>
      <c r="H648" s="214"/>
      <c r="I648" s="214"/>
      <c r="K648" s="131">
        <v>6</v>
      </c>
      <c r="N648" s="130"/>
      <c r="R648" s="132"/>
      <c r="T648" s="133"/>
      <c r="AA648" s="134"/>
      <c r="AT648" s="130" t="s">
        <v>168</v>
      </c>
      <c r="AU648" s="130" t="s">
        <v>102</v>
      </c>
      <c r="AV648" s="130" t="s">
        <v>102</v>
      </c>
      <c r="AW648" s="130" t="s">
        <v>112</v>
      </c>
      <c r="AX648" s="130" t="s">
        <v>72</v>
      </c>
      <c r="AY648" s="130" t="s">
        <v>161</v>
      </c>
    </row>
    <row r="649" spans="2:51" s="6" customFormat="1" ht="15.75" customHeight="1">
      <c r="B649" s="135"/>
      <c r="E649" s="136"/>
      <c r="F649" s="215" t="s">
        <v>171</v>
      </c>
      <c r="G649" s="216"/>
      <c r="H649" s="216"/>
      <c r="I649" s="216"/>
      <c r="K649" s="137">
        <v>19.369</v>
      </c>
      <c r="N649" s="136"/>
      <c r="R649" s="138"/>
      <c r="T649" s="139"/>
      <c r="AA649" s="140"/>
      <c r="AT649" s="136" t="s">
        <v>168</v>
      </c>
      <c r="AU649" s="136" t="s">
        <v>102</v>
      </c>
      <c r="AV649" s="136" t="s">
        <v>166</v>
      </c>
      <c r="AW649" s="136" t="s">
        <v>112</v>
      </c>
      <c r="AX649" s="136" t="s">
        <v>16</v>
      </c>
      <c r="AY649" s="136" t="s">
        <v>161</v>
      </c>
    </row>
    <row r="650" spans="2:63" s="6" customFormat="1" ht="27" customHeight="1">
      <c r="B650" s="20"/>
      <c r="C650" s="117" t="s">
        <v>682</v>
      </c>
      <c r="D650" s="117" t="s">
        <v>162</v>
      </c>
      <c r="E650" s="118" t="s">
        <v>683</v>
      </c>
      <c r="F650" s="204" t="s">
        <v>684</v>
      </c>
      <c r="G650" s="205"/>
      <c r="H650" s="205"/>
      <c r="I650" s="205"/>
      <c r="J650" s="119" t="s">
        <v>245</v>
      </c>
      <c r="K650" s="120">
        <v>3.5</v>
      </c>
      <c r="L650" s="206">
        <v>0</v>
      </c>
      <c r="M650" s="205"/>
      <c r="N650" s="207">
        <f>ROUND($L$650*$K$650,2)</f>
        <v>0</v>
      </c>
      <c r="O650" s="205"/>
      <c r="P650" s="205"/>
      <c r="Q650" s="205"/>
      <c r="R650" s="21"/>
      <c r="T650" s="121"/>
      <c r="U650" s="27" t="s">
        <v>37</v>
      </c>
      <c r="V650" s="122">
        <v>0.077</v>
      </c>
      <c r="W650" s="122">
        <f>$V$650*$K$650</f>
        <v>0.2695</v>
      </c>
      <c r="X650" s="122">
        <v>0</v>
      </c>
      <c r="Y650" s="122">
        <f>$X$650*$K$650</f>
        <v>0</v>
      </c>
      <c r="Z650" s="122">
        <v>0.00797</v>
      </c>
      <c r="AA650" s="123">
        <f>$Z$650*$K$650</f>
        <v>0.027895</v>
      </c>
      <c r="AR650" s="6" t="s">
        <v>221</v>
      </c>
      <c r="AT650" s="6" t="s">
        <v>162</v>
      </c>
      <c r="AU650" s="6" t="s">
        <v>102</v>
      </c>
      <c r="AY650" s="6" t="s">
        <v>161</v>
      </c>
      <c r="BE650" s="76">
        <f>IF($U$650="základní",$N$650,0)</f>
        <v>0</v>
      </c>
      <c r="BF650" s="76">
        <f>IF($U$650="snížená",$N$650,0)</f>
        <v>0</v>
      </c>
      <c r="BG650" s="76">
        <f>IF($U$650="zákl. přenesená",$N$650,0)</f>
        <v>0</v>
      </c>
      <c r="BH650" s="76">
        <f>IF($U$650="sníž. přenesená",$N$650,0)</f>
        <v>0</v>
      </c>
      <c r="BI650" s="76">
        <f>IF($U$650="nulová",$N$650,0)</f>
        <v>0</v>
      </c>
      <c r="BJ650" s="6" t="s">
        <v>16</v>
      </c>
      <c r="BK650" s="76">
        <f>ROUND($L$650*$K$650,2)</f>
        <v>0</v>
      </c>
    </row>
    <row r="651" spans="2:63" s="6" customFormat="1" ht="27" customHeight="1">
      <c r="B651" s="20"/>
      <c r="C651" s="117" t="s">
        <v>685</v>
      </c>
      <c r="D651" s="117" t="s">
        <v>162</v>
      </c>
      <c r="E651" s="118" t="s">
        <v>686</v>
      </c>
      <c r="F651" s="204" t="s">
        <v>687</v>
      </c>
      <c r="G651" s="205"/>
      <c r="H651" s="205"/>
      <c r="I651" s="205"/>
      <c r="J651" s="119" t="s">
        <v>174</v>
      </c>
      <c r="K651" s="120">
        <v>45.566</v>
      </c>
      <c r="L651" s="206">
        <v>0</v>
      </c>
      <c r="M651" s="205"/>
      <c r="N651" s="207">
        <f>ROUND($L$651*$K$651,2)</f>
        <v>0</v>
      </c>
      <c r="O651" s="205"/>
      <c r="P651" s="205"/>
      <c r="Q651" s="205"/>
      <c r="R651" s="21"/>
      <c r="T651" s="121"/>
      <c r="U651" s="27" t="s">
        <v>37</v>
      </c>
      <c r="V651" s="122">
        <v>0.111</v>
      </c>
      <c r="W651" s="122">
        <f>$V$651*$K$651</f>
        <v>5.057826</v>
      </c>
      <c r="X651" s="122">
        <v>1E-05</v>
      </c>
      <c r="Y651" s="122">
        <f>$X$651*$K$651</f>
        <v>0.00045566000000000004</v>
      </c>
      <c r="Z651" s="122">
        <v>0</v>
      </c>
      <c r="AA651" s="123">
        <f>$Z$651*$K$651</f>
        <v>0</v>
      </c>
      <c r="AR651" s="6" t="s">
        <v>221</v>
      </c>
      <c r="AT651" s="6" t="s">
        <v>162</v>
      </c>
      <c r="AU651" s="6" t="s">
        <v>102</v>
      </c>
      <c r="AY651" s="6" t="s">
        <v>161</v>
      </c>
      <c r="BE651" s="76">
        <f>IF($U$651="základní",$N$651,0)</f>
        <v>0</v>
      </c>
      <c r="BF651" s="76">
        <f>IF($U$651="snížená",$N$651,0)</f>
        <v>0</v>
      </c>
      <c r="BG651" s="76">
        <f>IF($U$651="zákl. přenesená",$N$651,0)</f>
        <v>0</v>
      </c>
      <c r="BH651" s="76">
        <f>IF($U$651="sníž. přenesená",$N$651,0)</f>
        <v>0</v>
      </c>
      <c r="BI651" s="76">
        <f>IF($U$651="nulová",$N$651,0)</f>
        <v>0</v>
      </c>
      <c r="BJ651" s="6" t="s">
        <v>16</v>
      </c>
      <c r="BK651" s="76">
        <f>ROUND($L$651*$K$651,2)</f>
        <v>0</v>
      </c>
    </row>
    <row r="652" spans="2:51" s="6" customFormat="1" ht="15.75" customHeight="1">
      <c r="B652" s="124"/>
      <c r="E652" s="125"/>
      <c r="F652" s="211" t="s">
        <v>219</v>
      </c>
      <c r="G652" s="212"/>
      <c r="H652" s="212"/>
      <c r="I652" s="212"/>
      <c r="K652" s="125"/>
      <c r="N652" s="125"/>
      <c r="R652" s="126"/>
      <c r="T652" s="127"/>
      <c r="AA652" s="128"/>
      <c r="AT652" s="125" t="s">
        <v>168</v>
      </c>
      <c r="AU652" s="125" t="s">
        <v>102</v>
      </c>
      <c r="AV652" s="125" t="s">
        <v>16</v>
      </c>
      <c r="AW652" s="125" t="s">
        <v>112</v>
      </c>
      <c r="AX652" s="125" t="s">
        <v>72</v>
      </c>
      <c r="AY652" s="125" t="s">
        <v>161</v>
      </c>
    </row>
    <row r="653" spans="2:51" s="6" customFormat="1" ht="15.75" customHeight="1">
      <c r="B653" s="129"/>
      <c r="E653" s="130"/>
      <c r="F653" s="213" t="s">
        <v>586</v>
      </c>
      <c r="G653" s="214"/>
      <c r="H653" s="214"/>
      <c r="I653" s="214"/>
      <c r="K653" s="131">
        <v>24.304</v>
      </c>
      <c r="N653" s="130"/>
      <c r="R653" s="132"/>
      <c r="T653" s="133"/>
      <c r="AA653" s="134"/>
      <c r="AT653" s="130" t="s">
        <v>168</v>
      </c>
      <c r="AU653" s="130" t="s">
        <v>102</v>
      </c>
      <c r="AV653" s="130" t="s">
        <v>102</v>
      </c>
      <c r="AW653" s="130" t="s">
        <v>112</v>
      </c>
      <c r="AX653" s="130" t="s">
        <v>72</v>
      </c>
      <c r="AY653" s="130" t="s">
        <v>161</v>
      </c>
    </row>
    <row r="654" spans="2:51" s="6" customFormat="1" ht="15.75" customHeight="1">
      <c r="B654" s="129"/>
      <c r="E654" s="130"/>
      <c r="F654" s="213" t="s">
        <v>587</v>
      </c>
      <c r="G654" s="214"/>
      <c r="H654" s="214"/>
      <c r="I654" s="214"/>
      <c r="K654" s="131">
        <v>21.262</v>
      </c>
      <c r="N654" s="130"/>
      <c r="R654" s="132"/>
      <c r="T654" s="133"/>
      <c r="AA654" s="134"/>
      <c r="AT654" s="130" t="s">
        <v>168</v>
      </c>
      <c r="AU654" s="130" t="s">
        <v>102</v>
      </c>
      <c r="AV654" s="130" t="s">
        <v>102</v>
      </c>
      <c r="AW654" s="130" t="s">
        <v>112</v>
      </c>
      <c r="AX654" s="130" t="s">
        <v>72</v>
      </c>
      <c r="AY654" s="130" t="s">
        <v>161</v>
      </c>
    </row>
    <row r="655" spans="2:51" s="6" customFormat="1" ht="15.75" customHeight="1">
      <c r="B655" s="135"/>
      <c r="E655" s="136"/>
      <c r="F655" s="215" t="s">
        <v>171</v>
      </c>
      <c r="G655" s="216"/>
      <c r="H655" s="216"/>
      <c r="I655" s="216"/>
      <c r="K655" s="137">
        <v>45.566</v>
      </c>
      <c r="N655" s="136"/>
      <c r="R655" s="138"/>
      <c r="T655" s="139"/>
      <c r="AA655" s="140"/>
      <c r="AT655" s="136" t="s">
        <v>168</v>
      </c>
      <c r="AU655" s="136" t="s">
        <v>102</v>
      </c>
      <c r="AV655" s="136" t="s">
        <v>166</v>
      </c>
      <c r="AW655" s="136" t="s">
        <v>112</v>
      </c>
      <c r="AX655" s="136" t="s">
        <v>16</v>
      </c>
      <c r="AY655" s="136" t="s">
        <v>161</v>
      </c>
    </row>
    <row r="656" spans="2:63" s="6" customFormat="1" ht="15.75" customHeight="1">
      <c r="B656" s="20"/>
      <c r="C656" s="141" t="s">
        <v>688</v>
      </c>
      <c r="D656" s="141" t="s">
        <v>227</v>
      </c>
      <c r="E656" s="142" t="s">
        <v>689</v>
      </c>
      <c r="F656" s="217" t="s">
        <v>690</v>
      </c>
      <c r="G656" s="218"/>
      <c r="H656" s="218"/>
      <c r="I656" s="218"/>
      <c r="J656" s="143" t="s">
        <v>174</v>
      </c>
      <c r="K656" s="144">
        <v>47.844</v>
      </c>
      <c r="L656" s="219">
        <v>0</v>
      </c>
      <c r="M656" s="218"/>
      <c r="N656" s="220">
        <f>ROUND($L$656*$K$656,2)</f>
        <v>0</v>
      </c>
      <c r="O656" s="205"/>
      <c r="P656" s="205"/>
      <c r="Q656" s="205"/>
      <c r="R656" s="21"/>
      <c r="T656" s="121"/>
      <c r="U656" s="27" t="s">
        <v>37</v>
      </c>
      <c r="V656" s="122">
        <v>0</v>
      </c>
      <c r="W656" s="122">
        <f>$V$656*$K$656</f>
        <v>0</v>
      </c>
      <c r="X656" s="122">
        <v>0.00038</v>
      </c>
      <c r="Y656" s="122">
        <f>$X$656*$K$656</f>
        <v>0.01818072</v>
      </c>
      <c r="Z656" s="122">
        <v>0</v>
      </c>
      <c r="AA656" s="123">
        <f>$Z$656*$K$656</f>
        <v>0</v>
      </c>
      <c r="AR656" s="6" t="s">
        <v>291</v>
      </c>
      <c r="AT656" s="6" t="s">
        <v>227</v>
      </c>
      <c r="AU656" s="6" t="s">
        <v>102</v>
      </c>
      <c r="AY656" s="6" t="s">
        <v>161</v>
      </c>
      <c r="BE656" s="76">
        <f>IF($U$656="základní",$N$656,0)</f>
        <v>0</v>
      </c>
      <c r="BF656" s="76">
        <f>IF($U$656="snížená",$N$656,0)</f>
        <v>0</v>
      </c>
      <c r="BG656" s="76">
        <f>IF($U$656="zákl. přenesená",$N$656,0)</f>
        <v>0</v>
      </c>
      <c r="BH656" s="76">
        <f>IF($U$656="sníž. přenesená",$N$656,0)</f>
        <v>0</v>
      </c>
      <c r="BI656" s="76">
        <f>IF($U$656="nulová",$N$656,0)</f>
        <v>0</v>
      </c>
      <c r="BJ656" s="6" t="s">
        <v>16</v>
      </c>
      <c r="BK656" s="76">
        <f>ROUND($L$656*$K$656,2)</f>
        <v>0</v>
      </c>
    </row>
    <row r="657" spans="2:63" s="6" customFormat="1" ht="27" customHeight="1">
      <c r="B657" s="20"/>
      <c r="C657" s="117" t="s">
        <v>691</v>
      </c>
      <c r="D657" s="117" t="s">
        <v>162</v>
      </c>
      <c r="E657" s="118" t="s">
        <v>692</v>
      </c>
      <c r="F657" s="204" t="s">
        <v>693</v>
      </c>
      <c r="G657" s="205"/>
      <c r="H657" s="205"/>
      <c r="I657" s="205"/>
      <c r="J657" s="119" t="s">
        <v>224</v>
      </c>
      <c r="K657" s="120">
        <v>0.028</v>
      </c>
      <c r="L657" s="206">
        <v>0</v>
      </c>
      <c r="M657" s="205"/>
      <c r="N657" s="207">
        <f>ROUND($L$657*$K$657,2)</f>
        <v>0</v>
      </c>
      <c r="O657" s="205"/>
      <c r="P657" s="205"/>
      <c r="Q657" s="205"/>
      <c r="R657" s="21"/>
      <c r="T657" s="121"/>
      <c r="U657" s="27" t="s">
        <v>37</v>
      </c>
      <c r="V657" s="122">
        <v>2.557</v>
      </c>
      <c r="W657" s="122">
        <f>$V$657*$K$657</f>
        <v>0.07159599999999999</v>
      </c>
      <c r="X657" s="122">
        <v>0</v>
      </c>
      <c r="Y657" s="122">
        <f>$X$657*$K$657</f>
        <v>0</v>
      </c>
      <c r="Z657" s="122">
        <v>0</v>
      </c>
      <c r="AA657" s="123">
        <f>$Z$657*$K$657</f>
        <v>0</v>
      </c>
      <c r="AR657" s="6" t="s">
        <v>221</v>
      </c>
      <c r="AT657" s="6" t="s">
        <v>162</v>
      </c>
      <c r="AU657" s="6" t="s">
        <v>102</v>
      </c>
      <c r="AY657" s="6" t="s">
        <v>161</v>
      </c>
      <c r="BE657" s="76">
        <f>IF($U$657="základní",$N$657,0)</f>
        <v>0</v>
      </c>
      <c r="BF657" s="76">
        <f>IF($U$657="snížená",$N$657,0)</f>
        <v>0</v>
      </c>
      <c r="BG657" s="76">
        <f>IF($U$657="zákl. přenesená",$N$657,0)</f>
        <v>0</v>
      </c>
      <c r="BH657" s="76">
        <f>IF($U$657="sníž. přenesená",$N$657,0)</f>
        <v>0</v>
      </c>
      <c r="BI657" s="76">
        <f>IF($U$657="nulová",$N$657,0)</f>
        <v>0</v>
      </c>
      <c r="BJ657" s="6" t="s">
        <v>16</v>
      </c>
      <c r="BK657" s="76">
        <f>ROUND($L$657*$K$657,2)</f>
        <v>0</v>
      </c>
    </row>
    <row r="658" spans="2:63" s="107" customFormat="1" ht="30.75" customHeight="1">
      <c r="B658" s="108"/>
      <c r="D658" s="116" t="s">
        <v>128</v>
      </c>
      <c r="N658" s="222">
        <f>$BK$658</f>
        <v>0</v>
      </c>
      <c r="O658" s="210"/>
      <c r="P658" s="210"/>
      <c r="Q658" s="210"/>
      <c r="R658" s="111"/>
      <c r="T658" s="112"/>
      <c r="W658" s="113">
        <f>SUM($W$659:$W$662)</f>
        <v>7.055244</v>
      </c>
      <c r="Y658" s="113">
        <f>SUM($Y$659:$Y$662)</f>
        <v>0.052</v>
      </c>
      <c r="AA658" s="114">
        <f>SUM($AA$659:$AA$662)</f>
        <v>0.096</v>
      </c>
      <c r="AR658" s="110" t="s">
        <v>102</v>
      </c>
      <c r="AT658" s="110" t="s">
        <v>71</v>
      </c>
      <c r="AU658" s="110" t="s">
        <v>16</v>
      </c>
      <c r="AY658" s="110" t="s">
        <v>161</v>
      </c>
      <c r="BK658" s="115">
        <f>SUM($BK$659:$BK$662)</f>
        <v>0</v>
      </c>
    </row>
    <row r="659" spans="2:63" s="6" customFormat="1" ht="27" customHeight="1">
      <c r="B659" s="20"/>
      <c r="C659" s="117" t="s">
        <v>694</v>
      </c>
      <c r="D659" s="117" t="s">
        <v>162</v>
      </c>
      <c r="E659" s="118" t="s">
        <v>695</v>
      </c>
      <c r="F659" s="204" t="s">
        <v>696</v>
      </c>
      <c r="G659" s="205"/>
      <c r="H659" s="205"/>
      <c r="I659" s="205"/>
      <c r="J659" s="119" t="s">
        <v>249</v>
      </c>
      <c r="K659" s="120">
        <v>4</v>
      </c>
      <c r="L659" s="206">
        <v>0</v>
      </c>
      <c r="M659" s="205"/>
      <c r="N659" s="207">
        <f>ROUND($L$659*$K$659,2)</f>
        <v>0</v>
      </c>
      <c r="O659" s="205"/>
      <c r="P659" s="205"/>
      <c r="Q659" s="205"/>
      <c r="R659" s="21"/>
      <c r="T659" s="121"/>
      <c r="U659" s="27" t="s">
        <v>37</v>
      </c>
      <c r="V659" s="122">
        <v>1.682</v>
      </c>
      <c r="W659" s="122">
        <f>$V$659*$K$659</f>
        <v>6.728</v>
      </c>
      <c r="X659" s="122">
        <v>0</v>
      </c>
      <c r="Y659" s="122">
        <f>$X$659*$K$659</f>
        <v>0</v>
      </c>
      <c r="Z659" s="122">
        <v>0</v>
      </c>
      <c r="AA659" s="123">
        <f>$Z$659*$K$659</f>
        <v>0</v>
      </c>
      <c r="AR659" s="6" t="s">
        <v>221</v>
      </c>
      <c r="AT659" s="6" t="s">
        <v>162</v>
      </c>
      <c r="AU659" s="6" t="s">
        <v>102</v>
      </c>
      <c r="AY659" s="6" t="s">
        <v>161</v>
      </c>
      <c r="BE659" s="76">
        <f>IF($U$659="základní",$N$659,0)</f>
        <v>0</v>
      </c>
      <c r="BF659" s="76">
        <f>IF($U$659="snížená",$N$659,0)</f>
        <v>0</v>
      </c>
      <c r="BG659" s="76">
        <f>IF($U$659="zákl. přenesená",$N$659,0)</f>
        <v>0</v>
      </c>
      <c r="BH659" s="76">
        <f>IF($U$659="sníž. přenesená",$N$659,0)</f>
        <v>0</v>
      </c>
      <c r="BI659" s="76">
        <f>IF($U$659="nulová",$N$659,0)</f>
        <v>0</v>
      </c>
      <c r="BJ659" s="6" t="s">
        <v>16</v>
      </c>
      <c r="BK659" s="76">
        <f>ROUND($L$659*$K$659,2)</f>
        <v>0</v>
      </c>
    </row>
    <row r="660" spans="2:63" s="6" customFormat="1" ht="27" customHeight="1">
      <c r="B660" s="20"/>
      <c r="C660" s="141" t="s">
        <v>697</v>
      </c>
      <c r="D660" s="141" t="s">
        <v>227</v>
      </c>
      <c r="E660" s="142" t="s">
        <v>698</v>
      </c>
      <c r="F660" s="217" t="s">
        <v>699</v>
      </c>
      <c r="G660" s="218"/>
      <c r="H660" s="218"/>
      <c r="I660" s="218"/>
      <c r="J660" s="143" t="s">
        <v>249</v>
      </c>
      <c r="K660" s="144">
        <v>4</v>
      </c>
      <c r="L660" s="219">
        <v>0</v>
      </c>
      <c r="M660" s="218"/>
      <c r="N660" s="220">
        <f>ROUND($L$660*$K$660,2)</f>
        <v>0</v>
      </c>
      <c r="O660" s="205"/>
      <c r="P660" s="205"/>
      <c r="Q660" s="205"/>
      <c r="R660" s="21"/>
      <c r="T660" s="121"/>
      <c r="U660" s="27" t="s">
        <v>37</v>
      </c>
      <c r="V660" s="122">
        <v>0</v>
      </c>
      <c r="W660" s="122">
        <f>$V$660*$K$660</f>
        <v>0</v>
      </c>
      <c r="X660" s="122">
        <v>0.013</v>
      </c>
      <c r="Y660" s="122">
        <f>$X$660*$K$660</f>
        <v>0.052</v>
      </c>
      <c r="Z660" s="122">
        <v>0</v>
      </c>
      <c r="AA660" s="123">
        <f>$Z$660*$K$660</f>
        <v>0</v>
      </c>
      <c r="AR660" s="6" t="s">
        <v>291</v>
      </c>
      <c r="AT660" s="6" t="s">
        <v>227</v>
      </c>
      <c r="AU660" s="6" t="s">
        <v>102</v>
      </c>
      <c r="AY660" s="6" t="s">
        <v>161</v>
      </c>
      <c r="BE660" s="76">
        <f>IF($U$660="základní",$N$660,0)</f>
        <v>0</v>
      </c>
      <c r="BF660" s="76">
        <f>IF($U$660="snížená",$N$660,0)</f>
        <v>0</v>
      </c>
      <c r="BG660" s="76">
        <f>IF($U$660="zákl. přenesená",$N$660,0)</f>
        <v>0</v>
      </c>
      <c r="BH660" s="76">
        <f>IF($U$660="sníž. přenesená",$N$660,0)</f>
        <v>0</v>
      </c>
      <c r="BI660" s="76">
        <f>IF($U$660="nulová",$N$660,0)</f>
        <v>0</v>
      </c>
      <c r="BJ660" s="6" t="s">
        <v>16</v>
      </c>
      <c r="BK660" s="76">
        <f>ROUND($L$660*$K$660,2)</f>
        <v>0</v>
      </c>
    </row>
    <row r="661" spans="2:63" s="6" customFormat="1" ht="27" customHeight="1">
      <c r="B661" s="20"/>
      <c r="C661" s="117" t="s">
        <v>700</v>
      </c>
      <c r="D661" s="117" t="s">
        <v>162</v>
      </c>
      <c r="E661" s="118" t="s">
        <v>701</v>
      </c>
      <c r="F661" s="204" t="s">
        <v>702</v>
      </c>
      <c r="G661" s="205"/>
      <c r="H661" s="205"/>
      <c r="I661" s="205"/>
      <c r="J661" s="119" t="s">
        <v>249</v>
      </c>
      <c r="K661" s="120">
        <v>4</v>
      </c>
      <c r="L661" s="206">
        <v>0</v>
      </c>
      <c r="M661" s="205"/>
      <c r="N661" s="207">
        <f>ROUND($L$661*$K$661,2)</f>
        <v>0</v>
      </c>
      <c r="O661" s="205"/>
      <c r="P661" s="205"/>
      <c r="Q661" s="205"/>
      <c r="R661" s="21"/>
      <c r="T661" s="121"/>
      <c r="U661" s="27" t="s">
        <v>37</v>
      </c>
      <c r="V661" s="122">
        <v>0.05</v>
      </c>
      <c r="W661" s="122">
        <f>$V$661*$K$661</f>
        <v>0.2</v>
      </c>
      <c r="X661" s="122">
        <v>0</v>
      </c>
      <c r="Y661" s="122">
        <f>$X$661*$K$661</f>
        <v>0</v>
      </c>
      <c r="Z661" s="122">
        <v>0.024</v>
      </c>
      <c r="AA661" s="123">
        <f>$Z$661*$K$661</f>
        <v>0.096</v>
      </c>
      <c r="AR661" s="6" t="s">
        <v>221</v>
      </c>
      <c r="AT661" s="6" t="s">
        <v>162</v>
      </c>
      <c r="AU661" s="6" t="s">
        <v>102</v>
      </c>
      <c r="AY661" s="6" t="s">
        <v>161</v>
      </c>
      <c r="BE661" s="76">
        <f>IF($U$661="základní",$N$661,0)</f>
        <v>0</v>
      </c>
      <c r="BF661" s="76">
        <f>IF($U$661="snížená",$N$661,0)</f>
        <v>0</v>
      </c>
      <c r="BG661" s="76">
        <f>IF($U$661="zákl. přenesená",$N$661,0)</f>
        <v>0</v>
      </c>
      <c r="BH661" s="76">
        <f>IF($U$661="sníž. přenesená",$N$661,0)</f>
        <v>0</v>
      </c>
      <c r="BI661" s="76">
        <f>IF($U$661="nulová",$N$661,0)</f>
        <v>0</v>
      </c>
      <c r="BJ661" s="6" t="s">
        <v>16</v>
      </c>
      <c r="BK661" s="76">
        <f>ROUND($L$661*$K$661,2)</f>
        <v>0</v>
      </c>
    </row>
    <row r="662" spans="2:63" s="6" customFormat="1" ht="27" customHeight="1">
      <c r="B662" s="20"/>
      <c r="C662" s="117" t="s">
        <v>703</v>
      </c>
      <c r="D662" s="117" t="s">
        <v>162</v>
      </c>
      <c r="E662" s="118" t="s">
        <v>704</v>
      </c>
      <c r="F662" s="204" t="s">
        <v>705</v>
      </c>
      <c r="G662" s="205"/>
      <c r="H662" s="205"/>
      <c r="I662" s="205"/>
      <c r="J662" s="119" t="s">
        <v>224</v>
      </c>
      <c r="K662" s="120">
        <v>0.052</v>
      </c>
      <c r="L662" s="206">
        <v>0</v>
      </c>
      <c r="M662" s="205"/>
      <c r="N662" s="207">
        <f>ROUND($L$662*$K$662,2)</f>
        <v>0</v>
      </c>
      <c r="O662" s="205"/>
      <c r="P662" s="205"/>
      <c r="Q662" s="205"/>
      <c r="R662" s="21"/>
      <c r="T662" s="121"/>
      <c r="U662" s="27" t="s">
        <v>37</v>
      </c>
      <c r="V662" s="122">
        <v>2.447</v>
      </c>
      <c r="W662" s="122">
        <f>$V$662*$K$662</f>
        <v>0.127244</v>
      </c>
      <c r="X662" s="122">
        <v>0</v>
      </c>
      <c r="Y662" s="122">
        <f>$X$662*$K$662</f>
        <v>0</v>
      </c>
      <c r="Z662" s="122">
        <v>0</v>
      </c>
      <c r="AA662" s="123">
        <f>$Z$662*$K$662</f>
        <v>0</v>
      </c>
      <c r="AR662" s="6" t="s">
        <v>221</v>
      </c>
      <c r="AT662" s="6" t="s">
        <v>162</v>
      </c>
      <c r="AU662" s="6" t="s">
        <v>102</v>
      </c>
      <c r="AY662" s="6" t="s">
        <v>161</v>
      </c>
      <c r="BE662" s="76">
        <f>IF($U$662="základní",$N$662,0)</f>
        <v>0</v>
      </c>
      <c r="BF662" s="76">
        <f>IF($U$662="snížená",$N$662,0)</f>
        <v>0</v>
      </c>
      <c r="BG662" s="76">
        <f>IF($U$662="zákl. přenesená",$N$662,0)</f>
        <v>0</v>
      </c>
      <c r="BH662" s="76">
        <f>IF($U$662="sníž. přenesená",$N$662,0)</f>
        <v>0</v>
      </c>
      <c r="BI662" s="76">
        <f>IF($U$662="nulová",$N$662,0)</f>
        <v>0</v>
      </c>
      <c r="BJ662" s="6" t="s">
        <v>16</v>
      </c>
      <c r="BK662" s="76">
        <f>ROUND($L$662*$K$662,2)</f>
        <v>0</v>
      </c>
    </row>
    <row r="663" spans="2:63" s="107" customFormat="1" ht="30.75" customHeight="1">
      <c r="B663" s="108"/>
      <c r="D663" s="116" t="s">
        <v>129</v>
      </c>
      <c r="N663" s="222">
        <f>$BK$663</f>
        <v>0</v>
      </c>
      <c r="O663" s="210"/>
      <c r="P663" s="210"/>
      <c r="Q663" s="210"/>
      <c r="R663" s="111"/>
      <c r="T663" s="112"/>
      <c r="W663" s="113">
        <f>SUM($W$664:$W$681)</f>
        <v>79.25004</v>
      </c>
      <c r="Y663" s="113">
        <f>SUM($Y$664:$Y$681)</f>
        <v>1.7902216</v>
      </c>
      <c r="AA663" s="114">
        <f>SUM($AA$664:$AA$681)</f>
        <v>0.6048</v>
      </c>
      <c r="AR663" s="110" t="s">
        <v>102</v>
      </c>
      <c r="AT663" s="110" t="s">
        <v>71</v>
      </c>
      <c r="AU663" s="110" t="s">
        <v>16</v>
      </c>
      <c r="AY663" s="110" t="s">
        <v>161</v>
      </c>
      <c r="BK663" s="115">
        <f>SUM($BK$664:$BK$681)</f>
        <v>0</v>
      </c>
    </row>
    <row r="664" spans="2:63" s="6" customFormat="1" ht="27" customHeight="1">
      <c r="B664" s="20"/>
      <c r="C664" s="117" t="s">
        <v>706</v>
      </c>
      <c r="D664" s="117" t="s">
        <v>162</v>
      </c>
      <c r="E664" s="118" t="s">
        <v>707</v>
      </c>
      <c r="F664" s="204" t="s">
        <v>708</v>
      </c>
      <c r="G664" s="205"/>
      <c r="H664" s="205"/>
      <c r="I664" s="205"/>
      <c r="J664" s="119" t="s">
        <v>249</v>
      </c>
      <c r="K664" s="120">
        <v>8</v>
      </c>
      <c r="L664" s="206">
        <v>0</v>
      </c>
      <c r="M664" s="205"/>
      <c r="N664" s="207">
        <f>ROUND($L$664*$K$664,2)</f>
        <v>0</v>
      </c>
      <c r="O664" s="205"/>
      <c r="P664" s="205"/>
      <c r="Q664" s="205"/>
      <c r="R664" s="21"/>
      <c r="T664" s="121"/>
      <c r="U664" s="27" t="s">
        <v>37</v>
      </c>
      <c r="V664" s="122">
        <v>0</v>
      </c>
      <c r="W664" s="122">
        <f>$V$664*$K$664</f>
        <v>0</v>
      </c>
      <c r="X664" s="122">
        <v>0</v>
      </c>
      <c r="Y664" s="122">
        <f>$X$664*$K$664</f>
        <v>0</v>
      </c>
      <c r="Z664" s="122">
        <v>0</v>
      </c>
      <c r="AA664" s="123">
        <f>$Z$664*$K$664</f>
        <v>0</v>
      </c>
      <c r="AR664" s="6" t="s">
        <v>221</v>
      </c>
      <c r="AT664" s="6" t="s">
        <v>162</v>
      </c>
      <c r="AU664" s="6" t="s">
        <v>102</v>
      </c>
      <c r="AY664" s="6" t="s">
        <v>161</v>
      </c>
      <c r="BE664" s="76">
        <f>IF($U$664="základní",$N$664,0)</f>
        <v>0</v>
      </c>
      <c r="BF664" s="76">
        <f>IF($U$664="snížená",$N$664,0)</f>
        <v>0</v>
      </c>
      <c r="BG664" s="76">
        <f>IF($U$664="zákl. přenesená",$N$664,0)</f>
        <v>0</v>
      </c>
      <c r="BH664" s="76">
        <f>IF($U$664="sníž. přenesená",$N$664,0)</f>
        <v>0</v>
      </c>
      <c r="BI664" s="76">
        <f>IF($U$664="nulová",$N$664,0)</f>
        <v>0</v>
      </c>
      <c r="BJ664" s="6" t="s">
        <v>16</v>
      </c>
      <c r="BK664" s="76">
        <f>ROUND($L$664*$K$664,2)</f>
        <v>0</v>
      </c>
    </row>
    <row r="665" spans="2:63" s="6" customFormat="1" ht="27" customHeight="1">
      <c r="B665" s="20"/>
      <c r="C665" s="117" t="s">
        <v>709</v>
      </c>
      <c r="D665" s="117" t="s">
        <v>162</v>
      </c>
      <c r="E665" s="118" t="s">
        <v>710</v>
      </c>
      <c r="F665" s="204" t="s">
        <v>711</v>
      </c>
      <c r="G665" s="205"/>
      <c r="H665" s="205"/>
      <c r="I665" s="205"/>
      <c r="J665" s="119" t="s">
        <v>712</v>
      </c>
      <c r="K665" s="120">
        <v>995.032</v>
      </c>
      <c r="L665" s="206">
        <v>0</v>
      </c>
      <c r="M665" s="205"/>
      <c r="N665" s="207">
        <f>ROUND($L$665*$K$665,2)</f>
        <v>0</v>
      </c>
      <c r="O665" s="205"/>
      <c r="P665" s="205"/>
      <c r="Q665" s="205"/>
      <c r="R665" s="21"/>
      <c r="T665" s="121"/>
      <c r="U665" s="27" t="s">
        <v>37</v>
      </c>
      <c r="V665" s="122">
        <v>0.045</v>
      </c>
      <c r="W665" s="122">
        <f>$V$665*$K$665</f>
        <v>44.77644</v>
      </c>
      <c r="X665" s="122">
        <v>5E-05</v>
      </c>
      <c r="Y665" s="122">
        <f>$X$665*$K$665</f>
        <v>0.04975160000000001</v>
      </c>
      <c r="Z665" s="122">
        <v>0</v>
      </c>
      <c r="AA665" s="123">
        <f>$Z$665*$K$665</f>
        <v>0</v>
      </c>
      <c r="AR665" s="6" t="s">
        <v>221</v>
      </c>
      <c r="AT665" s="6" t="s">
        <v>162</v>
      </c>
      <c r="AU665" s="6" t="s">
        <v>102</v>
      </c>
      <c r="AY665" s="6" t="s">
        <v>161</v>
      </c>
      <c r="BE665" s="76">
        <f>IF($U$665="základní",$N$665,0)</f>
        <v>0</v>
      </c>
      <c r="BF665" s="76">
        <f>IF($U$665="snížená",$N$665,0)</f>
        <v>0</v>
      </c>
      <c r="BG665" s="76">
        <f>IF($U$665="zákl. přenesená",$N$665,0)</f>
        <v>0</v>
      </c>
      <c r="BH665" s="76">
        <f>IF($U$665="sníž. přenesená",$N$665,0)</f>
        <v>0</v>
      </c>
      <c r="BI665" s="76">
        <f>IF($U$665="nulová",$N$665,0)</f>
        <v>0</v>
      </c>
      <c r="BJ665" s="6" t="s">
        <v>16</v>
      </c>
      <c r="BK665" s="76">
        <f>ROUND($L$665*$K$665,2)</f>
        <v>0</v>
      </c>
    </row>
    <row r="666" spans="2:51" s="6" customFormat="1" ht="15.75" customHeight="1">
      <c r="B666" s="124"/>
      <c r="E666" s="125"/>
      <c r="F666" s="211" t="s">
        <v>713</v>
      </c>
      <c r="G666" s="212"/>
      <c r="H666" s="212"/>
      <c r="I666" s="212"/>
      <c r="K666" s="125"/>
      <c r="N666" s="125"/>
      <c r="R666" s="126"/>
      <c r="T666" s="127"/>
      <c r="AA666" s="128"/>
      <c r="AT666" s="125" t="s">
        <v>168</v>
      </c>
      <c r="AU666" s="125" t="s">
        <v>102</v>
      </c>
      <c r="AV666" s="125" t="s">
        <v>16</v>
      </c>
      <c r="AW666" s="125" t="s">
        <v>112</v>
      </c>
      <c r="AX666" s="125" t="s">
        <v>72</v>
      </c>
      <c r="AY666" s="125" t="s">
        <v>161</v>
      </c>
    </row>
    <row r="667" spans="2:51" s="6" customFormat="1" ht="15.75" customHeight="1">
      <c r="B667" s="129"/>
      <c r="E667" s="130"/>
      <c r="F667" s="213" t="s">
        <v>714</v>
      </c>
      <c r="G667" s="214"/>
      <c r="H667" s="214"/>
      <c r="I667" s="214"/>
      <c r="K667" s="131">
        <v>115.2</v>
      </c>
      <c r="N667" s="130"/>
      <c r="R667" s="132"/>
      <c r="T667" s="133"/>
      <c r="AA667" s="134"/>
      <c r="AT667" s="130" t="s">
        <v>168</v>
      </c>
      <c r="AU667" s="130" t="s">
        <v>102</v>
      </c>
      <c r="AV667" s="130" t="s">
        <v>102</v>
      </c>
      <c r="AW667" s="130" t="s">
        <v>112</v>
      </c>
      <c r="AX667" s="130" t="s">
        <v>72</v>
      </c>
      <c r="AY667" s="130" t="s">
        <v>161</v>
      </c>
    </row>
    <row r="668" spans="2:51" s="6" customFormat="1" ht="15.75" customHeight="1">
      <c r="B668" s="124"/>
      <c r="E668" s="125"/>
      <c r="F668" s="211" t="s">
        <v>409</v>
      </c>
      <c r="G668" s="212"/>
      <c r="H668" s="212"/>
      <c r="I668" s="212"/>
      <c r="K668" s="125"/>
      <c r="N668" s="125"/>
      <c r="R668" s="126"/>
      <c r="T668" s="127"/>
      <c r="AA668" s="128"/>
      <c r="AT668" s="125" t="s">
        <v>168</v>
      </c>
      <c r="AU668" s="125" t="s">
        <v>102</v>
      </c>
      <c r="AV668" s="125" t="s">
        <v>16</v>
      </c>
      <c r="AW668" s="125" t="s">
        <v>112</v>
      </c>
      <c r="AX668" s="125" t="s">
        <v>72</v>
      </c>
      <c r="AY668" s="125" t="s">
        <v>161</v>
      </c>
    </row>
    <row r="669" spans="2:51" s="6" customFormat="1" ht="15.75" customHeight="1">
      <c r="B669" s="129"/>
      <c r="E669" s="130"/>
      <c r="F669" s="213" t="s">
        <v>715</v>
      </c>
      <c r="G669" s="214"/>
      <c r="H669" s="214"/>
      <c r="I669" s="214"/>
      <c r="K669" s="131">
        <v>879.832</v>
      </c>
      <c r="N669" s="130"/>
      <c r="R669" s="132"/>
      <c r="T669" s="133"/>
      <c r="AA669" s="134"/>
      <c r="AT669" s="130" t="s">
        <v>168</v>
      </c>
      <c r="AU669" s="130" t="s">
        <v>102</v>
      </c>
      <c r="AV669" s="130" t="s">
        <v>102</v>
      </c>
      <c r="AW669" s="130" t="s">
        <v>112</v>
      </c>
      <c r="AX669" s="130" t="s">
        <v>72</v>
      </c>
      <c r="AY669" s="130" t="s">
        <v>161</v>
      </c>
    </row>
    <row r="670" spans="2:51" s="6" customFormat="1" ht="15.75" customHeight="1">
      <c r="B670" s="135"/>
      <c r="E670" s="136"/>
      <c r="F670" s="215" t="s">
        <v>171</v>
      </c>
      <c r="G670" s="216"/>
      <c r="H670" s="216"/>
      <c r="I670" s="216"/>
      <c r="K670" s="137">
        <v>995.032</v>
      </c>
      <c r="N670" s="136"/>
      <c r="R670" s="138"/>
      <c r="T670" s="139"/>
      <c r="AA670" s="140"/>
      <c r="AT670" s="136" t="s">
        <v>168</v>
      </c>
      <c r="AU670" s="136" t="s">
        <v>102</v>
      </c>
      <c r="AV670" s="136" t="s">
        <v>166</v>
      </c>
      <c r="AW670" s="136" t="s">
        <v>112</v>
      </c>
      <c r="AX670" s="136" t="s">
        <v>16</v>
      </c>
      <c r="AY670" s="136" t="s">
        <v>161</v>
      </c>
    </row>
    <row r="671" spans="2:63" s="6" customFormat="1" ht="27" customHeight="1">
      <c r="B671" s="20"/>
      <c r="C671" s="141" t="s">
        <v>716</v>
      </c>
      <c r="D671" s="141" t="s">
        <v>227</v>
      </c>
      <c r="E671" s="142" t="s">
        <v>717</v>
      </c>
      <c r="F671" s="217" t="s">
        <v>718</v>
      </c>
      <c r="G671" s="218"/>
      <c r="H671" s="218"/>
      <c r="I671" s="218"/>
      <c r="J671" s="143" t="s">
        <v>224</v>
      </c>
      <c r="K671" s="144">
        <v>0.145</v>
      </c>
      <c r="L671" s="219">
        <v>0</v>
      </c>
      <c r="M671" s="218"/>
      <c r="N671" s="220">
        <f>ROUND($L$671*$K$671,2)</f>
        <v>0</v>
      </c>
      <c r="O671" s="205"/>
      <c r="P671" s="205"/>
      <c r="Q671" s="205"/>
      <c r="R671" s="21"/>
      <c r="T671" s="121"/>
      <c r="U671" s="27" t="s">
        <v>37</v>
      </c>
      <c r="V671" s="122">
        <v>0</v>
      </c>
      <c r="W671" s="122">
        <f>$V$671*$K$671</f>
        <v>0</v>
      </c>
      <c r="X671" s="122">
        <v>1</v>
      </c>
      <c r="Y671" s="122">
        <f>$X$671*$K$671</f>
        <v>0.145</v>
      </c>
      <c r="Z671" s="122">
        <v>0</v>
      </c>
      <c r="AA671" s="123">
        <f>$Z$671*$K$671</f>
        <v>0</v>
      </c>
      <c r="AR671" s="6" t="s">
        <v>291</v>
      </c>
      <c r="AT671" s="6" t="s">
        <v>227</v>
      </c>
      <c r="AU671" s="6" t="s">
        <v>102</v>
      </c>
      <c r="AY671" s="6" t="s">
        <v>161</v>
      </c>
      <c r="BE671" s="76">
        <f>IF($U$671="základní",$N$671,0)</f>
        <v>0</v>
      </c>
      <c r="BF671" s="76">
        <f>IF($U$671="snížená",$N$671,0)</f>
        <v>0</v>
      </c>
      <c r="BG671" s="76">
        <f>IF($U$671="zákl. přenesená",$N$671,0)</f>
        <v>0</v>
      </c>
      <c r="BH671" s="76">
        <f>IF($U$671="sníž. přenesená",$N$671,0)</f>
        <v>0</v>
      </c>
      <c r="BI671" s="76">
        <f>IF($U$671="nulová",$N$671,0)</f>
        <v>0</v>
      </c>
      <c r="BJ671" s="6" t="s">
        <v>16</v>
      </c>
      <c r="BK671" s="76">
        <f>ROUND($L$671*$K$671,2)</f>
        <v>0</v>
      </c>
    </row>
    <row r="672" spans="2:51" s="6" customFormat="1" ht="15.75" customHeight="1">
      <c r="B672" s="124"/>
      <c r="E672" s="125"/>
      <c r="F672" s="211" t="s">
        <v>713</v>
      </c>
      <c r="G672" s="212"/>
      <c r="H672" s="212"/>
      <c r="I672" s="212"/>
      <c r="K672" s="125"/>
      <c r="N672" s="125"/>
      <c r="R672" s="126"/>
      <c r="T672" s="127"/>
      <c r="AA672" s="128"/>
      <c r="AT672" s="125" t="s">
        <v>168</v>
      </c>
      <c r="AU672" s="125" t="s">
        <v>102</v>
      </c>
      <c r="AV672" s="125" t="s">
        <v>16</v>
      </c>
      <c r="AW672" s="125" t="s">
        <v>112</v>
      </c>
      <c r="AX672" s="125" t="s">
        <v>72</v>
      </c>
      <c r="AY672" s="125" t="s">
        <v>161</v>
      </c>
    </row>
    <row r="673" spans="2:51" s="6" customFormat="1" ht="15.75" customHeight="1">
      <c r="B673" s="129"/>
      <c r="E673" s="130"/>
      <c r="F673" s="213" t="s">
        <v>719</v>
      </c>
      <c r="G673" s="214"/>
      <c r="H673" s="214"/>
      <c r="I673" s="214"/>
      <c r="K673" s="131">
        <v>0.145</v>
      </c>
      <c r="N673" s="130"/>
      <c r="R673" s="132"/>
      <c r="T673" s="133"/>
      <c r="AA673" s="134"/>
      <c r="AT673" s="130" t="s">
        <v>168</v>
      </c>
      <c r="AU673" s="130" t="s">
        <v>102</v>
      </c>
      <c r="AV673" s="130" t="s">
        <v>102</v>
      </c>
      <c r="AW673" s="130" t="s">
        <v>112</v>
      </c>
      <c r="AX673" s="130" t="s">
        <v>16</v>
      </c>
      <c r="AY673" s="130" t="s">
        <v>161</v>
      </c>
    </row>
    <row r="674" spans="2:63" s="6" customFormat="1" ht="27" customHeight="1">
      <c r="B674" s="20"/>
      <c r="C674" s="141" t="s">
        <v>720</v>
      </c>
      <c r="D674" s="141" t="s">
        <v>227</v>
      </c>
      <c r="E674" s="142" t="s">
        <v>721</v>
      </c>
      <c r="F674" s="217" t="s">
        <v>722</v>
      </c>
      <c r="G674" s="218"/>
      <c r="H674" s="218"/>
      <c r="I674" s="218"/>
      <c r="J674" s="143" t="s">
        <v>245</v>
      </c>
      <c r="K674" s="144">
        <v>30.98</v>
      </c>
      <c r="L674" s="219">
        <v>0</v>
      </c>
      <c r="M674" s="218"/>
      <c r="N674" s="220">
        <f>ROUND($L$674*$K$674,2)</f>
        <v>0</v>
      </c>
      <c r="O674" s="205"/>
      <c r="P674" s="205"/>
      <c r="Q674" s="205"/>
      <c r="R674" s="21"/>
      <c r="T674" s="121"/>
      <c r="U674" s="27" t="s">
        <v>37</v>
      </c>
      <c r="V674" s="122">
        <v>0</v>
      </c>
      <c r="W674" s="122">
        <f>$V$674*$K$674</f>
        <v>0</v>
      </c>
      <c r="X674" s="122">
        <v>0.0515</v>
      </c>
      <c r="Y674" s="122">
        <f>$X$674*$K$674</f>
        <v>1.59547</v>
      </c>
      <c r="Z674" s="122">
        <v>0</v>
      </c>
      <c r="AA674" s="123">
        <f>$Z$674*$K$674</f>
        <v>0</v>
      </c>
      <c r="AR674" s="6" t="s">
        <v>291</v>
      </c>
      <c r="AT674" s="6" t="s">
        <v>227</v>
      </c>
      <c r="AU674" s="6" t="s">
        <v>102</v>
      </c>
      <c r="AY674" s="6" t="s">
        <v>161</v>
      </c>
      <c r="BE674" s="76">
        <f>IF($U$674="základní",$N$674,0)</f>
        <v>0</v>
      </c>
      <c r="BF674" s="76">
        <f>IF($U$674="snížená",$N$674,0)</f>
        <v>0</v>
      </c>
      <c r="BG674" s="76">
        <f>IF($U$674="zákl. přenesená",$N$674,0)</f>
        <v>0</v>
      </c>
      <c r="BH674" s="76">
        <f>IF($U$674="sníž. přenesená",$N$674,0)</f>
        <v>0</v>
      </c>
      <c r="BI674" s="76">
        <f>IF($U$674="nulová",$N$674,0)</f>
        <v>0</v>
      </c>
      <c r="BJ674" s="6" t="s">
        <v>16</v>
      </c>
      <c r="BK674" s="76">
        <f>ROUND($L$674*$K$674,2)</f>
        <v>0</v>
      </c>
    </row>
    <row r="675" spans="2:47" s="6" customFormat="1" ht="15.75" customHeight="1">
      <c r="B675" s="20"/>
      <c r="F675" s="221" t="s">
        <v>723</v>
      </c>
      <c r="G675" s="160"/>
      <c r="H675" s="160"/>
      <c r="I675" s="160"/>
      <c r="R675" s="21"/>
      <c r="T675" s="51"/>
      <c r="AA675" s="52"/>
      <c r="AT675" s="6" t="s">
        <v>231</v>
      </c>
      <c r="AU675" s="6" t="s">
        <v>102</v>
      </c>
    </row>
    <row r="676" spans="2:51" s="6" customFormat="1" ht="15.75" customHeight="1">
      <c r="B676" s="124"/>
      <c r="E676" s="125"/>
      <c r="F676" s="211" t="s">
        <v>167</v>
      </c>
      <c r="G676" s="212"/>
      <c r="H676" s="212"/>
      <c r="I676" s="212"/>
      <c r="K676" s="125"/>
      <c r="N676" s="125"/>
      <c r="R676" s="126"/>
      <c r="T676" s="127"/>
      <c r="AA676" s="128"/>
      <c r="AT676" s="125" t="s">
        <v>168</v>
      </c>
      <c r="AU676" s="125" t="s">
        <v>102</v>
      </c>
      <c r="AV676" s="125" t="s">
        <v>16</v>
      </c>
      <c r="AW676" s="125" t="s">
        <v>112</v>
      </c>
      <c r="AX676" s="125" t="s">
        <v>72</v>
      </c>
      <c r="AY676" s="125" t="s">
        <v>161</v>
      </c>
    </row>
    <row r="677" spans="2:51" s="6" customFormat="1" ht="15.75" customHeight="1">
      <c r="B677" s="124"/>
      <c r="E677" s="125"/>
      <c r="F677" s="211" t="s">
        <v>409</v>
      </c>
      <c r="G677" s="212"/>
      <c r="H677" s="212"/>
      <c r="I677" s="212"/>
      <c r="K677" s="125"/>
      <c r="N677" s="125"/>
      <c r="R677" s="126"/>
      <c r="T677" s="127"/>
      <c r="AA677" s="128"/>
      <c r="AT677" s="125" t="s">
        <v>168</v>
      </c>
      <c r="AU677" s="125" t="s">
        <v>102</v>
      </c>
      <c r="AV677" s="125" t="s">
        <v>16</v>
      </c>
      <c r="AW677" s="125" t="s">
        <v>112</v>
      </c>
      <c r="AX677" s="125" t="s">
        <v>72</v>
      </c>
      <c r="AY677" s="125" t="s">
        <v>161</v>
      </c>
    </row>
    <row r="678" spans="2:51" s="6" customFormat="1" ht="15.75" customHeight="1">
      <c r="B678" s="129"/>
      <c r="E678" s="130"/>
      <c r="F678" s="213" t="s">
        <v>724</v>
      </c>
      <c r="G678" s="214"/>
      <c r="H678" s="214"/>
      <c r="I678" s="214"/>
      <c r="K678" s="131">
        <v>30.98</v>
      </c>
      <c r="N678" s="130"/>
      <c r="R678" s="132"/>
      <c r="T678" s="133"/>
      <c r="AA678" s="134"/>
      <c r="AT678" s="130" t="s">
        <v>168</v>
      </c>
      <c r="AU678" s="130" t="s">
        <v>102</v>
      </c>
      <c r="AV678" s="130" t="s">
        <v>102</v>
      </c>
      <c r="AW678" s="130" t="s">
        <v>112</v>
      </c>
      <c r="AX678" s="130" t="s">
        <v>16</v>
      </c>
      <c r="AY678" s="130" t="s">
        <v>161</v>
      </c>
    </row>
    <row r="679" spans="2:63" s="6" customFormat="1" ht="27" customHeight="1">
      <c r="B679" s="20"/>
      <c r="C679" s="117" t="s">
        <v>725</v>
      </c>
      <c r="D679" s="117" t="s">
        <v>162</v>
      </c>
      <c r="E679" s="118" t="s">
        <v>726</v>
      </c>
      <c r="F679" s="204" t="s">
        <v>727</v>
      </c>
      <c r="G679" s="205"/>
      <c r="H679" s="205"/>
      <c r="I679" s="205"/>
      <c r="J679" s="119" t="s">
        <v>712</v>
      </c>
      <c r="K679" s="120">
        <v>604.8</v>
      </c>
      <c r="L679" s="206">
        <v>0</v>
      </c>
      <c r="M679" s="205"/>
      <c r="N679" s="207">
        <f>ROUND($L$679*$K$679,2)</f>
        <v>0</v>
      </c>
      <c r="O679" s="205"/>
      <c r="P679" s="205"/>
      <c r="Q679" s="205"/>
      <c r="R679" s="21"/>
      <c r="T679" s="121"/>
      <c r="U679" s="27" t="s">
        <v>37</v>
      </c>
      <c r="V679" s="122">
        <v>0.057</v>
      </c>
      <c r="W679" s="122">
        <f>$V$679*$K$679</f>
        <v>34.4736</v>
      </c>
      <c r="X679" s="122">
        <v>0</v>
      </c>
      <c r="Y679" s="122">
        <f>$X$679*$K$679</f>
        <v>0</v>
      </c>
      <c r="Z679" s="122">
        <v>0.001</v>
      </c>
      <c r="AA679" s="123">
        <f>$Z$679*$K$679</f>
        <v>0.6048</v>
      </c>
      <c r="AR679" s="6" t="s">
        <v>221</v>
      </c>
      <c r="AT679" s="6" t="s">
        <v>162</v>
      </c>
      <c r="AU679" s="6" t="s">
        <v>102</v>
      </c>
      <c r="AY679" s="6" t="s">
        <v>161</v>
      </c>
      <c r="BE679" s="76">
        <f>IF($U$679="základní",$N$679,0)</f>
        <v>0</v>
      </c>
      <c r="BF679" s="76">
        <f>IF($U$679="snížená",$N$679,0)</f>
        <v>0</v>
      </c>
      <c r="BG679" s="76">
        <f>IF($U$679="zákl. přenesená",$N$679,0)</f>
        <v>0</v>
      </c>
      <c r="BH679" s="76">
        <f>IF($U$679="sníž. přenesená",$N$679,0)</f>
        <v>0</v>
      </c>
      <c r="BI679" s="76">
        <f>IF($U$679="nulová",$N$679,0)</f>
        <v>0</v>
      </c>
      <c r="BJ679" s="6" t="s">
        <v>16</v>
      </c>
      <c r="BK679" s="76">
        <f>ROUND($L$679*$K$679,2)</f>
        <v>0</v>
      </c>
    </row>
    <row r="680" spans="2:51" s="6" customFormat="1" ht="15.75" customHeight="1">
      <c r="B680" s="129"/>
      <c r="E680" s="130"/>
      <c r="F680" s="213" t="s">
        <v>728</v>
      </c>
      <c r="G680" s="214"/>
      <c r="H680" s="214"/>
      <c r="I680" s="214"/>
      <c r="K680" s="131">
        <v>604.8</v>
      </c>
      <c r="N680" s="130"/>
      <c r="R680" s="132"/>
      <c r="T680" s="133"/>
      <c r="AA680" s="134"/>
      <c r="AT680" s="130" t="s">
        <v>168</v>
      </c>
      <c r="AU680" s="130" t="s">
        <v>102</v>
      </c>
      <c r="AV680" s="130" t="s">
        <v>102</v>
      </c>
      <c r="AW680" s="130" t="s">
        <v>112</v>
      </c>
      <c r="AX680" s="130" t="s">
        <v>16</v>
      </c>
      <c r="AY680" s="130" t="s">
        <v>161</v>
      </c>
    </row>
    <row r="681" spans="2:63" s="6" customFormat="1" ht="27" customHeight="1">
      <c r="B681" s="20"/>
      <c r="C681" s="117" t="s">
        <v>729</v>
      </c>
      <c r="D681" s="117" t="s">
        <v>162</v>
      </c>
      <c r="E681" s="118" t="s">
        <v>730</v>
      </c>
      <c r="F681" s="204" t="s">
        <v>731</v>
      </c>
      <c r="G681" s="205"/>
      <c r="H681" s="205"/>
      <c r="I681" s="205"/>
      <c r="J681" s="119" t="s">
        <v>530</v>
      </c>
      <c r="K681" s="145">
        <v>0</v>
      </c>
      <c r="L681" s="206">
        <v>0</v>
      </c>
      <c r="M681" s="205"/>
      <c r="N681" s="207">
        <f>ROUND($L$681*$K$681,2)</f>
        <v>0</v>
      </c>
      <c r="O681" s="205"/>
      <c r="P681" s="205"/>
      <c r="Q681" s="205"/>
      <c r="R681" s="21"/>
      <c r="T681" s="121"/>
      <c r="U681" s="27" t="s">
        <v>37</v>
      </c>
      <c r="V681" s="122">
        <v>0</v>
      </c>
      <c r="W681" s="122">
        <f>$V$681*$K$681</f>
        <v>0</v>
      </c>
      <c r="X681" s="122">
        <v>0</v>
      </c>
      <c r="Y681" s="122">
        <f>$X$681*$K$681</f>
        <v>0</v>
      </c>
      <c r="Z681" s="122">
        <v>0</v>
      </c>
      <c r="AA681" s="123">
        <f>$Z$681*$K$681</f>
        <v>0</v>
      </c>
      <c r="AR681" s="6" t="s">
        <v>221</v>
      </c>
      <c r="AT681" s="6" t="s">
        <v>162</v>
      </c>
      <c r="AU681" s="6" t="s">
        <v>102</v>
      </c>
      <c r="AY681" s="6" t="s">
        <v>161</v>
      </c>
      <c r="BE681" s="76">
        <f>IF($U$681="základní",$N$681,0)</f>
        <v>0</v>
      </c>
      <c r="BF681" s="76">
        <f>IF($U$681="snížená",$N$681,0)</f>
        <v>0</v>
      </c>
      <c r="BG681" s="76">
        <f>IF($U$681="zákl. přenesená",$N$681,0)</f>
        <v>0</v>
      </c>
      <c r="BH681" s="76">
        <f>IF($U$681="sníž. přenesená",$N$681,0)</f>
        <v>0</v>
      </c>
      <c r="BI681" s="76">
        <f>IF($U$681="nulová",$N$681,0)</f>
        <v>0</v>
      </c>
      <c r="BJ681" s="6" t="s">
        <v>16</v>
      </c>
      <c r="BK681" s="76">
        <f>ROUND($L$681*$K$681,2)</f>
        <v>0</v>
      </c>
    </row>
    <row r="682" spans="2:63" s="107" customFormat="1" ht="30.75" customHeight="1">
      <c r="B682" s="108"/>
      <c r="D682" s="116" t="s">
        <v>130</v>
      </c>
      <c r="N682" s="222">
        <f>$BK$682</f>
        <v>0</v>
      </c>
      <c r="O682" s="210"/>
      <c r="P682" s="210"/>
      <c r="Q682" s="210"/>
      <c r="R682" s="111"/>
      <c r="T682" s="112"/>
      <c r="W682" s="113">
        <f>SUM($W$683:$W$697)</f>
        <v>12.991680000000002</v>
      </c>
      <c r="Y682" s="113">
        <f>SUM($Y$683:$Y$697)</f>
        <v>0.4776096</v>
      </c>
      <c r="AA682" s="114">
        <f>SUM($AA$683:$AA$697)</f>
        <v>0</v>
      </c>
      <c r="AR682" s="110" t="s">
        <v>102</v>
      </c>
      <c r="AT682" s="110" t="s">
        <v>71</v>
      </c>
      <c r="AU682" s="110" t="s">
        <v>16</v>
      </c>
      <c r="AY682" s="110" t="s">
        <v>161</v>
      </c>
      <c r="BK682" s="115">
        <f>SUM($BK$683:$BK$697)</f>
        <v>0</v>
      </c>
    </row>
    <row r="683" spans="2:63" s="6" customFormat="1" ht="27" customHeight="1">
      <c r="B683" s="20"/>
      <c r="C683" s="117" t="s">
        <v>732</v>
      </c>
      <c r="D683" s="117" t="s">
        <v>162</v>
      </c>
      <c r="E683" s="118" t="s">
        <v>733</v>
      </c>
      <c r="F683" s="204" t="s">
        <v>734</v>
      </c>
      <c r="G683" s="205"/>
      <c r="H683" s="205"/>
      <c r="I683" s="205"/>
      <c r="J683" s="119" t="s">
        <v>174</v>
      </c>
      <c r="K683" s="120">
        <v>6.24</v>
      </c>
      <c r="L683" s="206">
        <v>0</v>
      </c>
      <c r="M683" s="205"/>
      <c r="N683" s="207">
        <f>ROUND($L$683*$K$683,2)</f>
        <v>0</v>
      </c>
      <c r="O683" s="205"/>
      <c r="P683" s="205"/>
      <c r="Q683" s="205"/>
      <c r="R683" s="21"/>
      <c r="T683" s="121"/>
      <c r="U683" s="27" t="s">
        <v>37</v>
      </c>
      <c r="V683" s="122">
        <v>1.802</v>
      </c>
      <c r="W683" s="122">
        <f>$V$683*$K$683</f>
        <v>11.244480000000001</v>
      </c>
      <c r="X683" s="122">
        <v>0.07654</v>
      </c>
      <c r="Y683" s="122">
        <f>$X$683*$K$683</f>
        <v>0.4776096</v>
      </c>
      <c r="Z683" s="122">
        <v>0</v>
      </c>
      <c r="AA683" s="123">
        <f>$Z$683*$K$683</f>
        <v>0</v>
      </c>
      <c r="AR683" s="6" t="s">
        <v>221</v>
      </c>
      <c r="AT683" s="6" t="s">
        <v>162</v>
      </c>
      <c r="AU683" s="6" t="s">
        <v>102</v>
      </c>
      <c r="AY683" s="6" t="s">
        <v>161</v>
      </c>
      <c r="BE683" s="76">
        <f>IF($U$683="základní",$N$683,0)</f>
        <v>0</v>
      </c>
      <c r="BF683" s="76">
        <f>IF($U$683="snížená",$N$683,0)</f>
        <v>0</v>
      </c>
      <c r="BG683" s="76">
        <f>IF($U$683="zákl. přenesená",$N$683,0)</f>
        <v>0</v>
      </c>
      <c r="BH683" s="76">
        <f>IF($U$683="sníž. přenesená",$N$683,0)</f>
        <v>0</v>
      </c>
      <c r="BI683" s="76">
        <f>IF($U$683="nulová",$N$683,0)</f>
        <v>0</v>
      </c>
      <c r="BJ683" s="6" t="s">
        <v>16</v>
      </c>
      <c r="BK683" s="76">
        <f>ROUND($L$683*$K$683,2)</f>
        <v>0</v>
      </c>
    </row>
    <row r="684" spans="2:51" s="6" customFormat="1" ht="15.75" customHeight="1">
      <c r="B684" s="124"/>
      <c r="E684" s="125"/>
      <c r="F684" s="211" t="s">
        <v>310</v>
      </c>
      <c r="G684" s="212"/>
      <c r="H684" s="212"/>
      <c r="I684" s="212"/>
      <c r="K684" s="125"/>
      <c r="N684" s="125"/>
      <c r="R684" s="126"/>
      <c r="T684" s="127"/>
      <c r="AA684" s="128"/>
      <c r="AT684" s="125" t="s">
        <v>168</v>
      </c>
      <c r="AU684" s="125" t="s">
        <v>102</v>
      </c>
      <c r="AV684" s="125" t="s">
        <v>16</v>
      </c>
      <c r="AW684" s="125" t="s">
        <v>112</v>
      </c>
      <c r="AX684" s="125" t="s">
        <v>72</v>
      </c>
      <c r="AY684" s="125" t="s">
        <v>161</v>
      </c>
    </row>
    <row r="685" spans="2:51" s="6" customFormat="1" ht="15.75" customHeight="1">
      <c r="B685" s="124"/>
      <c r="E685" s="125"/>
      <c r="F685" s="211" t="s">
        <v>276</v>
      </c>
      <c r="G685" s="212"/>
      <c r="H685" s="212"/>
      <c r="I685" s="212"/>
      <c r="K685" s="125"/>
      <c r="N685" s="125"/>
      <c r="R685" s="126"/>
      <c r="T685" s="127"/>
      <c r="AA685" s="128"/>
      <c r="AT685" s="125" t="s">
        <v>168</v>
      </c>
      <c r="AU685" s="125" t="s">
        <v>102</v>
      </c>
      <c r="AV685" s="125" t="s">
        <v>16</v>
      </c>
      <c r="AW685" s="125" t="s">
        <v>112</v>
      </c>
      <c r="AX685" s="125" t="s">
        <v>72</v>
      </c>
      <c r="AY685" s="125" t="s">
        <v>161</v>
      </c>
    </row>
    <row r="686" spans="2:51" s="6" customFormat="1" ht="15.75" customHeight="1">
      <c r="B686" s="129"/>
      <c r="E686" s="130"/>
      <c r="F686" s="213" t="s">
        <v>735</v>
      </c>
      <c r="G686" s="214"/>
      <c r="H686" s="214"/>
      <c r="I686" s="214"/>
      <c r="K686" s="131">
        <v>1.44</v>
      </c>
      <c r="N686" s="130"/>
      <c r="R686" s="132"/>
      <c r="T686" s="133"/>
      <c r="AA686" s="134"/>
      <c r="AT686" s="130" t="s">
        <v>168</v>
      </c>
      <c r="AU686" s="130" t="s">
        <v>102</v>
      </c>
      <c r="AV686" s="130" t="s">
        <v>102</v>
      </c>
      <c r="AW686" s="130" t="s">
        <v>112</v>
      </c>
      <c r="AX686" s="130" t="s">
        <v>72</v>
      </c>
      <c r="AY686" s="130" t="s">
        <v>161</v>
      </c>
    </row>
    <row r="687" spans="2:51" s="6" customFormat="1" ht="15.75" customHeight="1">
      <c r="B687" s="129"/>
      <c r="E687" s="130"/>
      <c r="F687" s="213" t="s">
        <v>736</v>
      </c>
      <c r="G687" s="214"/>
      <c r="H687" s="214"/>
      <c r="I687" s="214"/>
      <c r="K687" s="131">
        <v>2.4</v>
      </c>
      <c r="N687" s="130"/>
      <c r="R687" s="132"/>
      <c r="T687" s="133"/>
      <c r="AA687" s="134"/>
      <c r="AT687" s="130" t="s">
        <v>168</v>
      </c>
      <c r="AU687" s="130" t="s">
        <v>102</v>
      </c>
      <c r="AV687" s="130" t="s">
        <v>102</v>
      </c>
      <c r="AW687" s="130" t="s">
        <v>112</v>
      </c>
      <c r="AX687" s="130" t="s">
        <v>72</v>
      </c>
      <c r="AY687" s="130" t="s">
        <v>161</v>
      </c>
    </row>
    <row r="688" spans="2:51" s="6" customFormat="1" ht="15.75" customHeight="1">
      <c r="B688" s="129"/>
      <c r="E688" s="130"/>
      <c r="F688" s="213" t="s">
        <v>737</v>
      </c>
      <c r="G688" s="214"/>
      <c r="H688" s="214"/>
      <c r="I688" s="214"/>
      <c r="K688" s="131">
        <v>2.4</v>
      </c>
      <c r="N688" s="130"/>
      <c r="R688" s="132"/>
      <c r="T688" s="133"/>
      <c r="AA688" s="134"/>
      <c r="AT688" s="130" t="s">
        <v>168</v>
      </c>
      <c r="AU688" s="130" t="s">
        <v>102</v>
      </c>
      <c r="AV688" s="130" t="s">
        <v>102</v>
      </c>
      <c r="AW688" s="130" t="s">
        <v>112</v>
      </c>
      <c r="AX688" s="130" t="s">
        <v>72</v>
      </c>
      <c r="AY688" s="130" t="s">
        <v>161</v>
      </c>
    </row>
    <row r="689" spans="2:51" s="6" customFormat="1" ht="15.75" customHeight="1">
      <c r="B689" s="135"/>
      <c r="E689" s="136"/>
      <c r="F689" s="215" t="s">
        <v>171</v>
      </c>
      <c r="G689" s="216"/>
      <c r="H689" s="216"/>
      <c r="I689" s="216"/>
      <c r="K689" s="137">
        <v>6.24</v>
      </c>
      <c r="N689" s="136"/>
      <c r="R689" s="138"/>
      <c r="T689" s="139"/>
      <c r="AA689" s="140"/>
      <c r="AT689" s="136" t="s">
        <v>168</v>
      </c>
      <c r="AU689" s="136" t="s">
        <v>102</v>
      </c>
      <c r="AV689" s="136" t="s">
        <v>166</v>
      </c>
      <c r="AW689" s="136" t="s">
        <v>112</v>
      </c>
      <c r="AX689" s="136" t="s">
        <v>16</v>
      </c>
      <c r="AY689" s="136" t="s">
        <v>161</v>
      </c>
    </row>
    <row r="690" spans="2:63" s="6" customFormat="1" ht="15.75" customHeight="1">
      <c r="B690" s="20"/>
      <c r="C690" s="117" t="s">
        <v>738</v>
      </c>
      <c r="D690" s="117" t="s">
        <v>162</v>
      </c>
      <c r="E690" s="118" t="s">
        <v>739</v>
      </c>
      <c r="F690" s="204" t="s">
        <v>740</v>
      </c>
      <c r="G690" s="205"/>
      <c r="H690" s="205"/>
      <c r="I690" s="205"/>
      <c r="J690" s="119" t="s">
        <v>174</v>
      </c>
      <c r="K690" s="120">
        <v>6.24</v>
      </c>
      <c r="L690" s="206">
        <v>0</v>
      </c>
      <c r="M690" s="205"/>
      <c r="N690" s="207">
        <f>ROUND($L$690*$K$690,2)</f>
        <v>0</v>
      </c>
      <c r="O690" s="205"/>
      <c r="P690" s="205"/>
      <c r="Q690" s="205"/>
      <c r="R690" s="21"/>
      <c r="T690" s="121"/>
      <c r="U690" s="27" t="s">
        <v>37</v>
      </c>
      <c r="V690" s="122">
        <v>0.28</v>
      </c>
      <c r="W690" s="122">
        <f>$V$690*$K$690</f>
        <v>1.7472000000000003</v>
      </c>
      <c r="X690" s="122">
        <v>0</v>
      </c>
      <c r="Y690" s="122">
        <f>$X$690*$K$690</f>
        <v>0</v>
      </c>
      <c r="Z690" s="122">
        <v>0</v>
      </c>
      <c r="AA690" s="123">
        <f>$Z$690*$K$690</f>
        <v>0</v>
      </c>
      <c r="AR690" s="6" t="s">
        <v>221</v>
      </c>
      <c r="AT690" s="6" t="s">
        <v>162</v>
      </c>
      <c r="AU690" s="6" t="s">
        <v>102</v>
      </c>
      <c r="AY690" s="6" t="s">
        <v>161</v>
      </c>
      <c r="BE690" s="76">
        <f>IF($U$690="základní",$N$690,0)</f>
        <v>0</v>
      </c>
      <c r="BF690" s="76">
        <f>IF($U$690="snížená",$N$690,0)</f>
        <v>0</v>
      </c>
      <c r="BG690" s="76">
        <f>IF($U$690="zákl. přenesená",$N$690,0)</f>
        <v>0</v>
      </c>
      <c r="BH690" s="76">
        <f>IF($U$690="sníž. přenesená",$N$690,0)</f>
        <v>0</v>
      </c>
      <c r="BI690" s="76">
        <f>IF($U$690="nulová",$N$690,0)</f>
        <v>0</v>
      </c>
      <c r="BJ690" s="6" t="s">
        <v>16</v>
      </c>
      <c r="BK690" s="76">
        <f>ROUND($L$690*$K$690,2)</f>
        <v>0</v>
      </c>
    </row>
    <row r="691" spans="2:51" s="6" customFormat="1" ht="15.75" customHeight="1">
      <c r="B691" s="124"/>
      <c r="E691" s="125"/>
      <c r="F691" s="211" t="s">
        <v>310</v>
      </c>
      <c r="G691" s="212"/>
      <c r="H691" s="212"/>
      <c r="I691" s="212"/>
      <c r="K691" s="125"/>
      <c r="N691" s="125"/>
      <c r="R691" s="126"/>
      <c r="T691" s="127"/>
      <c r="AA691" s="128"/>
      <c r="AT691" s="125" t="s">
        <v>168</v>
      </c>
      <c r="AU691" s="125" t="s">
        <v>102</v>
      </c>
      <c r="AV691" s="125" t="s">
        <v>16</v>
      </c>
      <c r="AW691" s="125" t="s">
        <v>112</v>
      </c>
      <c r="AX691" s="125" t="s">
        <v>72</v>
      </c>
      <c r="AY691" s="125" t="s">
        <v>161</v>
      </c>
    </row>
    <row r="692" spans="2:51" s="6" customFormat="1" ht="15.75" customHeight="1">
      <c r="B692" s="124"/>
      <c r="E692" s="125"/>
      <c r="F692" s="211" t="s">
        <v>276</v>
      </c>
      <c r="G692" s="212"/>
      <c r="H692" s="212"/>
      <c r="I692" s="212"/>
      <c r="K692" s="125"/>
      <c r="N692" s="125"/>
      <c r="R692" s="126"/>
      <c r="T692" s="127"/>
      <c r="AA692" s="128"/>
      <c r="AT692" s="125" t="s">
        <v>168</v>
      </c>
      <c r="AU692" s="125" t="s">
        <v>102</v>
      </c>
      <c r="AV692" s="125" t="s">
        <v>16</v>
      </c>
      <c r="AW692" s="125" t="s">
        <v>112</v>
      </c>
      <c r="AX692" s="125" t="s">
        <v>72</v>
      </c>
      <c r="AY692" s="125" t="s">
        <v>161</v>
      </c>
    </row>
    <row r="693" spans="2:51" s="6" customFormat="1" ht="15.75" customHeight="1">
      <c r="B693" s="129"/>
      <c r="E693" s="130"/>
      <c r="F693" s="213" t="s">
        <v>735</v>
      </c>
      <c r="G693" s="214"/>
      <c r="H693" s="214"/>
      <c r="I693" s="214"/>
      <c r="K693" s="131">
        <v>1.44</v>
      </c>
      <c r="N693" s="130"/>
      <c r="R693" s="132"/>
      <c r="T693" s="133"/>
      <c r="AA693" s="134"/>
      <c r="AT693" s="130" t="s">
        <v>168</v>
      </c>
      <c r="AU693" s="130" t="s">
        <v>102</v>
      </c>
      <c r="AV693" s="130" t="s">
        <v>102</v>
      </c>
      <c r="AW693" s="130" t="s">
        <v>112</v>
      </c>
      <c r="AX693" s="130" t="s">
        <v>72</v>
      </c>
      <c r="AY693" s="130" t="s">
        <v>161</v>
      </c>
    </row>
    <row r="694" spans="2:51" s="6" customFormat="1" ht="15.75" customHeight="1">
      <c r="B694" s="129"/>
      <c r="E694" s="130"/>
      <c r="F694" s="213" t="s">
        <v>736</v>
      </c>
      <c r="G694" s="214"/>
      <c r="H694" s="214"/>
      <c r="I694" s="214"/>
      <c r="K694" s="131">
        <v>2.4</v>
      </c>
      <c r="N694" s="130"/>
      <c r="R694" s="132"/>
      <c r="T694" s="133"/>
      <c r="AA694" s="134"/>
      <c r="AT694" s="130" t="s">
        <v>168</v>
      </c>
      <c r="AU694" s="130" t="s">
        <v>102</v>
      </c>
      <c r="AV694" s="130" t="s">
        <v>102</v>
      </c>
      <c r="AW694" s="130" t="s">
        <v>112</v>
      </c>
      <c r="AX694" s="130" t="s">
        <v>72</v>
      </c>
      <c r="AY694" s="130" t="s">
        <v>161</v>
      </c>
    </row>
    <row r="695" spans="2:51" s="6" customFormat="1" ht="15.75" customHeight="1">
      <c r="B695" s="129"/>
      <c r="E695" s="130"/>
      <c r="F695" s="213" t="s">
        <v>737</v>
      </c>
      <c r="G695" s="214"/>
      <c r="H695" s="214"/>
      <c r="I695" s="214"/>
      <c r="K695" s="131">
        <v>2.4</v>
      </c>
      <c r="N695" s="130"/>
      <c r="R695" s="132"/>
      <c r="T695" s="133"/>
      <c r="AA695" s="134"/>
      <c r="AT695" s="130" t="s">
        <v>168</v>
      </c>
      <c r="AU695" s="130" t="s">
        <v>102</v>
      </c>
      <c r="AV695" s="130" t="s">
        <v>102</v>
      </c>
      <c r="AW695" s="130" t="s">
        <v>112</v>
      </c>
      <c r="AX695" s="130" t="s">
        <v>72</v>
      </c>
      <c r="AY695" s="130" t="s">
        <v>161</v>
      </c>
    </row>
    <row r="696" spans="2:51" s="6" customFormat="1" ht="15.75" customHeight="1">
      <c r="B696" s="135"/>
      <c r="E696" s="136"/>
      <c r="F696" s="215" t="s">
        <v>171</v>
      </c>
      <c r="G696" s="216"/>
      <c r="H696" s="216"/>
      <c r="I696" s="216"/>
      <c r="K696" s="137">
        <v>6.24</v>
      </c>
      <c r="N696" s="136"/>
      <c r="R696" s="138"/>
      <c r="T696" s="139"/>
      <c r="AA696" s="140"/>
      <c r="AT696" s="136" t="s">
        <v>168</v>
      </c>
      <c r="AU696" s="136" t="s">
        <v>102</v>
      </c>
      <c r="AV696" s="136" t="s">
        <v>166</v>
      </c>
      <c r="AW696" s="136" t="s">
        <v>112</v>
      </c>
      <c r="AX696" s="136" t="s">
        <v>16</v>
      </c>
      <c r="AY696" s="136" t="s">
        <v>161</v>
      </c>
    </row>
    <row r="697" spans="2:63" s="6" customFormat="1" ht="27" customHeight="1">
      <c r="B697" s="20"/>
      <c r="C697" s="117" t="s">
        <v>741</v>
      </c>
      <c r="D697" s="117" t="s">
        <v>162</v>
      </c>
      <c r="E697" s="118" t="s">
        <v>742</v>
      </c>
      <c r="F697" s="204" t="s">
        <v>743</v>
      </c>
      <c r="G697" s="205"/>
      <c r="H697" s="205"/>
      <c r="I697" s="205"/>
      <c r="J697" s="119" t="s">
        <v>530</v>
      </c>
      <c r="K697" s="145">
        <v>0</v>
      </c>
      <c r="L697" s="206">
        <v>0</v>
      </c>
      <c r="M697" s="205"/>
      <c r="N697" s="207">
        <f>ROUND($L$697*$K$697,2)</f>
        <v>0</v>
      </c>
      <c r="O697" s="205"/>
      <c r="P697" s="205"/>
      <c r="Q697" s="205"/>
      <c r="R697" s="21"/>
      <c r="T697" s="121"/>
      <c r="U697" s="27" t="s">
        <v>37</v>
      </c>
      <c r="V697" s="122">
        <v>0</v>
      </c>
      <c r="W697" s="122">
        <f>$V$697*$K$697</f>
        <v>0</v>
      </c>
      <c r="X697" s="122">
        <v>0</v>
      </c>
      <c r="Y697" s="122">
        <f>$X$697*$K$697</f>
        <v>0</v>
      </c>
      <c r="Z697" s="122">
        <v>0</v>
      </c>
      <c r="AA697" s="123">
        <f>$Z$697*$K$697</f>
        <v>0</v>
      </c>
      <c r="AR697" s="6" t="s">
        <v>221</v>
      </c>
      <c r="AT697" s="6" t="s">
        <v>162</v>
      </c>
      <c r="AU697" s="6" t="s">
        <v>102</v>
      </c>
      <c r="AY697" s="6" t="s">
        <v>161</v>
      </c>
      <c r="BE697" s="76">
        <f>IF($U$697="základní",$N$697,0)</f>
        <v>0</v>
      </c>
      <c r="BF697" s="76">
        <f>IF($U$697="snížená",$N$697,0)</f>
        <v>0</v>
      </c>
      <c r="BG697" s="76">
        <f>IF($U$697="zákl. přenesená",$N$697,0)</f>
        <v>0</v>
      </c>
      <c r="BH697" s="76">
        <f>IF($U$697="sníž. přenesená",$N$697,0)</f>
        <v>0</v>
      </c>
      <c r="BI697" s="76">
        <f>IF($U$697="nulová",$N$697,0)</f>
        <v>0</v>
      </c>
      <c r="BJ697" s="6" t="s">
        <v>16</v>
      </c>
      <c r="BK697" s="76">
        <f>ROUND($L$697*$K$697,2)</f>
        <v>0</v>
      </c>
    </row>
    <row r="698" spans="2:63" s="107" customFormat="1" ht="30.75" customHeight="1">
      <c r="B698" s="108"/>
      <c r="D698" s="116" t="s">
        <v>131</v>
      </c>
      <c r="N698" s="222">
        <f>$BK$698</f>
        <v>0</v>
      </c>
      <c r="O698" s="210"/>
      <c r="P698" s="210"/>
      <c r="Q698" s="210"/>
      <c r="R698" s="111"/>
      <c r="T698" s="112"/>
      <c r="W698" s="113">
        <f>SUM($W$699:$W$715)</f>
        <v>33.6669</v>
      </c>
      <c r="Y698" s="113">
        <f>SUM($Y$699:$Y$715)</f>
        <v>0.03675168</v>
      </c>
      <c r="AA698" s="114">
        <f>SUM($AA$699:$AA$715)</f>
        <v>0</v>
      </c>
      <c r="AR698" s="110" t="s">
        <v>102</v>
      </c>
      <c r="AT698" s="110" t="s">
        <v>71</v>
      </c>
      <c r="AU698" s="110" t="s">
        <v>16</v>
      </c>
      <c r="AY698" s="110" t="s">
        <v>161</v>
      </c>
      <c r="BK698" s="115">
        <f>SUM($BK$699:$BK$715)</f>
        <v>0</v>
      </c>
    </row>
    <row r="699" spans="2:63" s="6" customFormat="1" ht="39" customHeight="1">
      <c r="B699" s="20"/>
      <c r="C699" s="117" t="s">
        <v>744</v>
      </c>
      <c r="D699" s="117" t="s">
        <v>162</v>
      </c>
      <c r="E699" s="118" t="s">
        <v>745</v>
      </c>
      <c r="F699" s="204" t="s">
        <v>746</v>
      </c>
      <c r="G699" s="205"/>
      <c r="H699" s="205"/>
      <c r="I699" s="205"/>
      <c r="J699" s="119" t="s">
        <v>174</v>
      </c>
      <c r="K699" s="120">
        <v>48</v>
      </c>
      <c r="L699" s="206">
        <v>0</v>
      </c>
      <c r="M699" s="205"/>
      <c r="N699" s="207">
        <f>ROUND($L$699*$K$699,2)</f>
        <v>0</v>
      </c>
      <c r="O699" s="205"/>
      <c r="P699" s="205"/>
      <c r="Q699" s="205"/>
      <c r="R699" s="21"/>
      <c r="T699" s="121"/>
      <c r="U699" s="27" t="s">
        <v>37</v>
      </c>
      <c r="V699" s="122">
        <v>0.403</v>
      </c>
      <c r="W699" s="122">
        <f>$V$699*$K$699</f>
        <v>19.344</v>
      </c>
      <c r="X699" s="122">
        <v>0.00023</v>
      </c>
      <c r="Y699" s="122">
        <f>$X$699*$K$699</f>
        <v>0.011040000000000001</v>
      </c>
      <c r="Z699" s="122">
        <v>0</v>
      </c>
      <c r="AA699" s="123">
        <f>$Z$699*$K$699</f>
        <v>0</v>
      </c>
      <c r="AR699" s="6" t="s">
        <v>221</v>
      </c>
      <c r="AT699" s="6" t="s">
        <v>162</v>
      </c>
      <c r="AU699" s="6" t="s">
        <v>102</v>
      </c>
      <c r="AY699" s="6" t="s">
        <v>161</v>
      </c>
      <c r="BE699" s="76">
        <f>IF($U$699="základní",$N$699,0)</f>
        <v>0</v>
      </c>
      <c r="BF699" s="76">
        <f>IF($U$699="snížená",$N$699,0)</f>
        <v>0</v>
      </c>
      <c r="BG699" s="76">
        <f>IF($U$699="zákl. přenesená",$N$699,0)</f>
        <v>0</v>
      </c>
      <c r="BH699" s="76">
        <f>IF($U$699="sníž. přenesená",$N$699,0)</f>
        <v>0</v>
      </c>
      <c r="BI699" s="76">
        <f>IF($U$699="nulová",$N$699,0)</f>
        <v>0</v>
      </c>
      <c r="BJ699" s="6" t="s">
        <v>16</v>
      </c>
      <c r="BK699" s="76">
        <f>ROUND($L$699*$K$699,2)</f>
        <v>0</v>
      </c>
    </row>
    <row r="700" spans="2:51" s="6" customFormat="1" ht="15.75" customHeight="1">
      <c r="B700" s="124"/>
      <c r="E700" s="125"/>
      <c r="F700" s="211" t="s">
        <v>310</v>
      </c>
      <c r="G700" s="212"/>
      <c r="H700" s="212"/>
      <c r="I700" s="212"/>
      <c r="K700" s="125"/>
      <c r="N700" s="125"/>
      <c r="R700" s="126"/>
      <c r="T700" s="127"/>
      <c r="AA700" s="128"/>
      <c r="AT700" s="125" t="s">
        <v>168</v>
      </c>
      <c r="AU700" s="125" t="s">
        <v>102</v>
      </c>
      <c r="AV700" s="125" t="s">
        <v>16</v>
      </c>
      <c r="AW700" s="125" t="s">
        <v>112</v>
      </c>
      <c r="AX700" s="125" t="s">
        <v>72</v>
      </c>
      <c r="AY700" s="125" t="s">
        <v>161</v>
      </c>
    </row>
    <row r="701" spans="2:51" s="6" customFormat="1" ht="15.75" customHeight="1">
      <c r="B701" s="124"/>
      <c r="E701" s="125"/>
      <c r="F701" s="211" t="s">
        <v>747</v>
      </c>
      <c r="G701" s="212"/>
      <c r="H701" s="212"/>
      <c r="I701" s="212"/>
      <c r="K701" s="125"/>
      <c r="N701" s="125"/>
      <c r="R701" s="126"/>
      <c r="T701" s="127"/>
      <c r="AA701" s="128"/>
      <c r="AT701" s="125" t="s">
        <v>168</v>
      </c>
      <c r="AU701" s="125" t="s">
        <v>102</v>
      </c>
      <c r="AV701" s="125" t="s">
        <v>16</v>
      </c>
      <c r="AW701" s="125" t="s">
        <v>112</v>
      </c>
      <c r="AX701" s="125" t="s">
        <v>72</v>
      </c>
      <c r="AY701" s="125" t="s">
        <v>161</v>
      </c>
    </row>
    <row r="702" spans="2:51" s="6" customFormat="1" ht="15.75" customHeight="1">
      <c r="B702" s="129"/>
      <c r="E702" s="130"/>
      <c r="F702" s="213" t="s">
        <v>748</v>
      </c>
      <c r="G702" s="214"/>
      <c r="H702" s="214"/>
      <c r="I702" s="214"/>
      <c r="K702" s="131">
        <v>38.4</v>
      </c>
      <c r="N702" s="130"/>
      <c r="R702" s="132"/>
      <c r="T702" s="133"/>
      <c r="AA702" s="134"/>
      <c r="AT702" s="130" t="s">
        <v>168</v>
      </c>
      <c r="AU702" s="130" t="s">
        <v>102</v>
      </c>
      <c r="AV702" s="130" t="s">
        <v>102</v>
      </c>
      <c r="AW702" s="130" t="s">
        <v>112</v>
      </c>
      <c r="AX702" s="130" t="s">
        <v>72</v>
      </c>
      <c r="AY702" s="130" t="s">
        <v>161</v>
      </c>
    </row>
    <row r="703" spans="2:51" s="6" customFormat="1" ht="15.75" customHeight="1">
      <c r="B703" s="129"/>
      <c r="E703" s="130"/>
      <c r="F703" s="213" t="s">
        <v>749</v>
      </c>
      <c r="G703" s="214"/>
      <c r="H703" s="214"/>
      <c r="I703" s="214"/>
      <c r="K703" s="131">
        <v>9.6</v>
      </c>
      <c r="N703" s="130"/>
      <c r="R703" s="132"/>
      <c r="T703" s="133"/>
      <c r="AA703" s="134"/>
      <c r="AT703" s="130" t="s">
        <v>168</v>
      </c>
      <c r="AU703" s="130" t="s">
        <v>102</v>
      </c>
      <c r="AV703" s="130" t="s">
        <v>102</v>
      </c>
      <c r="AW703" s="130" t="s">
        <v>112</v>
      </c>
      <c r="AX703" s="130" t="s">
        <v>72</v>
      </c>
      <c r="AY703" s="130" t="s">
        <v>161</v>
      </c>
    </row>
    <row r="704" spans="2:51" s="6" customFormat="1" ht="15.75" customHeight="1">
      <c r="B704" s="135"/>
      <c r="E704" s="136"/>
      <c r="F704" s="215" t="s">
        <v>171</v>
      </c>
      <c r="G704" s="216"/>
      <c r="H704" s="216"/>
      <c r="I704" s="216"/>
      <c r="K704" s="137">
        <v>48</v>
      </c>
      <c r="N704" s="136"/>
      <c r="R704" s="138"/>
      <c r="T704" s="139"/>
      <c r="AA704" s="140"/>
      <c r="AT704" s="136" t="s">
        <v>168</v>
      </c>
      <c r="AU704" s="136" t="s">
        <v>102</v>
      </c>
      <c r="AV704" s="136" t="s">
        <v>166</v>
      </c>
      <c r="AW704" s="136" t="s">
        <v>112</v>
      </c>
      <c r="AX704" s="136" t="s">
        <v>16</v>
      </c>
      <c r="AY704" s="136" t="s">
        <v>161</v>
      </c>
    </row>
    <row r="705" spans="2:63" s="6" customFormat="1" ht="27" customHeight="1">
      <c r="B705" s="20"/>
      <c r="C705" s="117" t="s">
        <v>750</v>
      </c>
      <c r="D705" s="117" t="s">
        <v>162</v>
      </c>
      <c r="E705" s="118" t="s">
        <v>751</v>
      </c>
      <c r="F705" s="204" t="s">
        <v>752</v>
      </c>
      <c r="G705" s="205"/>
      <c r="H705" s="205"/>
      <c r="I705" s="205"/>
      <c r="J705" s="119" t="s">
        <v>174</v>
      </c>
      <c r="K705" s="120">
        <v>48</v>
      </c>
      <c r="L705" s="206">
        <v>0</v>
      </c>
      <c r="M705" s="205"/>
      <c r="N705" s="207">
        <f>ROUND($L$705*$K$705,2)</f>
        <v>0</v>
      </c>
      <c r="O705" s="205"/>
      <c r="P705" s="205"/>
      <c r="Q705" s="205"/>
      <c r="R705" s="21"/>
      <c r="T705" s="121"/>
      <c r="U705" s="27" t="s">
        <v>37</v>
      </c>
      <c r="V705" s="122">
        <v>0.156</v>
      </c>
      <c r="W705" s="122">
        <f>$V$705*$K$705</f>
        <v>7.4879999999999995</v>
      </c>
      <c r="X705" s="122">
        <v>8E-05</v>
      </c>
      <c r="Y705" s="122">
        <f>$X$705*$K$705</f>
        <v>0.0038400000000000005</v>
      </c>
      <c r="Z705" s="122">
        <v>0</v>
      </c>
      <c r="AA705" s="123">
        <f>$Z$705*$K$705</f>
        <v>0</v>
      </c>
      <c r="AR705" s="6" t="s">
        <v>221</v>
      </c>
      <c r="AT705" s="6" t="s">
        <v>162</v>
      </c>
      <c r="AU705" s="6" t="s">
        <v>102</v>
      </c>
      <c r="AY705" s="6" t="s">
        <v>161</v>
      </c>
      <c r="BE705" s="76">
        <f>IF($U$705="základní",$N$705,0)</f>
        <v>0</v>
      </c>
      <c r="BF705" s="76">
        <f>IF($U$705="snížená",$N$705,0)</f>
        <v>0</v>
      </c>
      <c r="BG705" s="76">
        <f>IF($U$705="zákl. přenesená",$N$705,0)</f>
        <v>0</v>
      </c>
      <c r="BH705" s="76">
        <f>IF($U$705="sníž. přenesená",$N$705,0)</f>
        <v>0</v>
      </c>
      <c r="BI705" s="76">
        <f>IF($U$705="nulová",$N$705,0)</f>
        <v>0</v>
      </c>
      <c r="BJ705" s="6" t="s">
        <v>16</v>
      </c>
      <c r="BK705" s="76">
        <f>ROUND($L$705*$K$705,2)</f>
        <v>0</v>
      </c>
    </row>
    <row r="706" spans="2:63" s="6" customFormat="1" ht="39" customHeight="1">
      <c r="B706" s="20"/>
      <c r="C706" s="117" t="s">
        <v>753</v>
      </c>
      <c r="D706" s="117" t="s">
        <v>162</v>
      </c>
      <c r="E706" s="118" t="s">
        <v>754</v>
      </c>
      <c r="F706" s="204" t="s">
        <v>755</v>
      </c>
      <c r="G706" s="205"/>
      <c r="H706" s="205"/>
      <c r="I706" s="205"/>
      <c r="J706" s="119" t="s">
        <v>174</v>
      </c>
      <c r="K706" s="120">
        <v>45.566</v>
      </c>
      <c r="L706" s="206">
        <v>0</v>
      </c>
      <c r="M706" s="205"/>
      <c r="N706" s="207">
        <f>ROUND($L$706*$K$706,2)</f>
        <v>0</v>
      </c>
      <c r="O706" s="205"/>
      <c r="P706" s="205"/>
      <c r="Q706" s="205"/>
      <c r="R706" s="21"/>
      <c r="T706" s="121"/>
      <c r="U706" s="27" t="s">
        <v>37</v>
      </c>
      <c r="V706" s="122">
        <v>0.15</v>
      </c>
      <c r="W706" s="122">
        <f>$V$706*$K$706</f>
        <v>6.8349</v>
      </c>
      <c r="X706" s="122">
        <v>0.00048</v>
      </c>
      <c r="Y706" s="122">
        <f>$X$706*$K$706</f>
        <v>0.02187168</v>
      </c>
      <c r="Z706" s="122">
        <v>0</v>
      </c>
      <c r="AA706" s="123">
        <f>$Z$706*$K$706</f>
        <v>0</v>
      </c>
      <c r="AR706" s="6" t="s">
        <v>221</v>
      </c>
      <c r="AT706" s="6" t="s">
        <v>162</v>
      </c>
      <c r="AU706" s="6" t="s">
        <v>102</v>
      </c>
      <c r="AY706" s="6" t="s">
        <v>161</v>
      </c>
      <c r="BE706" s="76">
        <f>IF($U$706="základní",$N$706,0)</f>
        <v>0</v>
      </c>
      <c r="BF706" s="76">
        <f>IF($U$706="snížená",$N$706,0)</f>
        <v>0</v>
      </c>
      <c r="BG706" s="76">
        <f>IF($U$706="zákl. přenesená",$N$706,0)</f>
        <v>0</v>
      </c>
      <c r="BH706" s="76">
        <f>IF($U$706="sníž. přenesená",$N$706,0)</f>
        <v>0</v>
      </c>
      <c r="BI706" s="76">
        <f>IF($U$706="nulová",$N$706,0)</f>
        <v>0</v>
      </c>
      <c r="BJ706" s="6" t="s">
        <v>16</v>
      </c>
      <c r="BK706" s="76">
        <f>ROUND($L$706*$K$706,2)</f>
        <v>0</v>
      </c>
    </row>
    <row r="707" spans="2:51" s="6" customFormat="1" ht="15.75" customHeight="1">
      <c r="B707" s="124"/>
      <c r="E707" s="125"/>
      <c r="F707" s="211" t="s">
        <v>219</v>
      </c>
      <c r="G707" s="212"/>
      <c r="H707" s="212"/>
      <c r="I707" s="212"/>
      <c r="K707" s="125"/>
      <c r="N707" s="125"/>
      <c r="R707" s="126"/>
      <c r="T707" s="127"/>
      <c r="AA707" s="128"/>
      <c r="AT707" s="125" t="s">
        <v>168</v>
      </c>
      <c r="AU707" s="125" t="s">
        <v>102</v>
      </c>
      <c r="AV707" s="125" t="s">
        <v>16</v>
      </c>
      <c r="AW707" s="125" t="s">
        <v>112</v>
      </c>
      <c r="AX707" s="125" t="s">
        <v>72</v>
      </c>
      <c r="AY707" s="125" t="s">
        <v>161</v>
      </c>
    </row>
    <row r="708" spans="2:51" s="6" customFormat="1" ht="15.75" customHeight="1">
      <c r="B708" s="129"/>
      <c r="E708" s="130"/>
      <c r="F708" s="213" t="s">
        <v>586</v>
      </c>
      <c r="G708" s="214"/>
      <c r="H708" s="214"/>
      <c r="I708" s="214"/>
      <c r="K708" s="131">
        <v>24.304</v>
      </c>
      <c r="N708" s="130"/>
      <c r="R708" s="132"/>
      <c r="T708" s="133"/>
      <c r="AA708" s="134"/>
      <c r="AT708" s="130" t="s">
        <v>168</v>
      </c>
      <c r="AU708" s="130" t="s">
        <v>102</v>
      </c>
      <c r="AV708" s="130" t="s">
        <v>102</v>
      </c>
      <c r="AW708" s="130" t="s">
        <v>112</v>
      </c>
      <c r="AX708" s="130" t="s">
        <v>72</v>
      </c>
      <c r="AY708" s="130" t="s">
        <v>161</v>
      </c>
    </row>
    <row r="709" spans="2:51" s="6" customFormat="1" ht="15.75" customHeight="1">
      <c r="B709" s="129"/>
      <c r="E709" s="130"/>
      <c r="F709" s="213" t="s">
        <v>587</v>
      </c>
      <c r="G709" s="214"/>
      <c r="H709" s="214"/>
      <c r="I709" s="214"/>
      <c r="K709" s="131">
        <v>21.262</v>
      </c>
      <c r="N709" s="130"/>
      <c r="R709" s="132"/>
      <c r="T709" s="133"/>
      <c r="AA709" s="134"/>
      <c r="AT709" s="130" t="s">
        <v>168</v>
      </c>
      <c r="AU709" s="130" t="s">
        <v>102</v>
      </c>
      <c r="AV709" s="130" t="s">
        <v>102</v>
      </c>
      <c r="AW709" s="130" t="s">
        <v>112</v>
      </c>
      <c r="AX709" s="130" t="s">
        <v>72</v>
      </c>
      <c r="AY709" s="130" t="s">
        <v>161</v>
      </c>
    </row>
    <row r="710" spans="2:51" s="6" customFormat="1" ht="15.75" customHeight="1">
      <c r="B710" s="135"/>
      <c r="E710" s="136"/>
      <c r="F710" s="215" t="s">
        <v>171</v>
      </c>
      <c r="G710" s="216"/>
      <c r="H710" s="216"/>
      <c r="I710" s="216"/>
      <c r="K710" s="137">
        <v>45.566</v>
      </c>
      <c r="N710" s="136"/>
      <c r="R710" s="138"/>
      <c r="T710" s="139"/>
      <c r="AA710" s="140"/>
      <c r="AT710" s="136" t="s">
        <v>168</v>
      </c>
      <c r="AU710" s="136" t="s">
        <v>102</v>
      </c>
      <c r="AV710" s="136" t="s">
        <v>166</v>
      </c>
      <c r="AW710" s="136" t="s">
        <v>112</v>
      </c>
      <c r="AX710" s="136" t="s">
        <v>16</v>
      </c>
      <c r="AY710" s="136" t="s">
        <v>161</v>
      </c>
    </row>
    <row r="711" spans="2:63" s="6" customFormat="1" ht="15.75" customHeight="1">
      <c r="B711" s="20"/>
      <c r="C711" s="117" t="s">
        <v>756</v>
      </c>
      <c r="D711" s="117" t="s">
        <v>162</v>
      </c>
      <c r="E711" s="118" t="s">
        <v>757</v>
      </c>
      <c r="F711" s="204" t="s">
        <v>758</v>
      </c>
      <c r="G711" s="205"/>
      <c r="H711" s="205"/>
      <c r="I711" s="205"/>
      <c r="J711" s="119" t="s">
        <v>174</v>
      </c>
      <c r="K711" s="120">
        <v>22.179</v>
      </c>
      <c r="L711" s="206">
        <v>0</v>
      </c>
      <c r="M711" s="205"/>
      <c r="N711" s="207">
        <f>ROUND($L$711*$K$711,2)</f>
        <v>0</v>
      </c>
      <c r="O711" s="205"/>
      <c r="P711" s="205"/>
      <c r="Q711" s="205"/>
      <c r="R711" s="21"/>
      <c r="T711" s="121"/>
      <c r="U711" s="27" t="s">
        <v>37</v>
      </c>
      <c r="V711" s="122">
        <v>0</v>
      </c>
      <c r="W711" s="122">
        <f>$V$711*$K$711</f>
        <v>0</v>
      </c>
      <c r="X711" s="122">
        <v>0</v>
      </c>
      <c r="Y711" s="122">
        <f>$X$711*$K$711</f>
        <v>0</v>
      </c>
      <c r="Z711" s="122">
        <v>0</v>
      </c>
      <c r="AA711" s="123">
        <f>$Z$711*$K$711</f>
        <v>0</v>
      </c>
      <c r="AR711" s="6" t="s">
        <v>221</v>
      </c>
      <c r="AT711" s="6" t="s">
        <v>162</v>
      </c>
      <c r="AU711" s="6" t="s">
        <v>102</v>
      </c>
      <c r="AY711" s="6" t="s">
        <v>161</v>
      </c>
      <c r="BE711" s="76">
        <f>IF($U$711="základní",$N$711,0)</f>
        <v>0</v>
      </c>
      <c r="BF711" s="76">
        <f>IF($U$711="snížená",$N$711,0)</f>
        <v>0</v>
      </c>
      <c r="BG711" s="76">
        <f>IF($U$711="zákl. přenesená",$N$711,0)</f>
        <v>0</v>
      </c>
      <c r="BH711" s="76">
        <f>IF($U$711="sníž. přenesená",$N$711,0)</f>
        <v>0</v>
      </c>
      <c r="BI711" s="76">
        <f>IF($U$711="nulová",$N$711,0)</f>
        <v>0</v>
      </c>
      <c r="BJ711" s="6" t="s">
        <v>16</v>
      </c>
      <c r="BK711" s="76">
        <f>ROUND($L$711*$K$711,2)</f>
        <v>0</v>
      </c>
    </row>
    <row r="712" spans="2:51" s="6" customFormat="1" ht="15.75" customHeight="1">
      <c r="B712" s="124"/>
      <c r="E712" s="125"/>
      <c r="F712" s="211" t="s">
        <v>167</v>
      </c>
      <c r="G712" s="212"/>
      <c r="H712" s="212"/>
      <c r="I712" s="212"/>
      <c r="K712" s="125"/>
      <c r="N712" s="125"/>
      <c r="R712" s="126"/>
      <c r="T712" s="127"/>
      <c r="AA712" s="128"/>
      <c r="AT712" s="125" t="s">
        <v>168</v>
      </c>
      <c r="AU712" s="125" t="s">
        <v>102</v>
      </c>
      <c r="AV712" s="125" t="s">
        <v>16</v>
      </c>
      <c r="AW712" s="125" t="s">
        <v>112</v>
      </c>
      <c r="AX712" s="125" t="s">
        <v>72</v>
      </c>
      <c r="AY712" s="125" t="s">
        <v>161</v>
      </c>
    </row>
    <row r="713" spans="2:51" s="6" customFormat="1" ht="15.75" customHeight="1">
      <c r="B713" s="124"/>
      <c r="E713" s="125"/>
      <c r="F713" s="211" t="s">
        <v>409</v>
      </c>
      <c r="G713" s="212"/>
      <c r="H713" s="212"/>
      <c r="I713" s="212"/>
      <c r="K713" s="125"/>
      <c r="N713" s="125"/>
      <c r="R713" s="126"/>
      <c r="T713" s="127"/>
      <c r="AA713" s="128"/>
      <c r="AT713" s="125" t="s">
        <v>168</v>
      </c>
      <c r="AU713" s="125" t="s">
        <v>102</v>
      </c>
      <c r="AV713" s="125" t="s">
        <v>16</v>
      </c>
      <c r="AW713" s="125" t="s">
        <v>112</v>
      </c>
      <c r="AX713" s="125" t="s">
        <v>72</v>
      </c>
      <c r="AY713" s="125" t="s">
        <v>161</v>
      </c>
    </row>
    <row r="714" spans="2:51" s="6" customFormat="1" ht="15.75" customHeight="1">
      <c r="B714" s="129"/>
      <c r="E714" s="130"/>
      <c r="F714" s="213" t="s">
        <v>759</v>
      </c>
      <c r="G714" s="214"/>
      <c r="H714" s="214"/>
      <c r="I714" s="214"/>
      <c r="K714" s="131">
        <v>22.179</v>
      </c>
      <c r="N714" s="130"/>
      <c r="R714" s="132"/>
      <c r="T714" s="133"/>
      <c r="AA714" s="134"/>
      <c r="AT714" s="130" t="s">
        <v>168</v>
      </c>
      <c r="AU714" s="130" t="s">
        <v>102</v>
      </c>
      <c r="AV714" s="130" t="s">
        <v>102</v>
      </c>
      <c r="AW714" s="130" t="s">
        <v>112</v>
      </c>
      <c r="AX714" s="130" t="s">
        <v>72</v>
      </c>
      <c r="AY714" s="130" t="s">
        <v>161</v>
      </c>
    </row>
    <row r="715" spans="2:51" s="6" customFormat="1" ht="15.75" customHeight="1">
      <c r="B715" s="135"/>
      <c r="E715" s="136"/>
      <c r="F715" s="215" t="s">
        <v>171</v>
      </c>
      <c r="G715" s="216"/>
      <c r="H715" s="216"/>
      <c r="I715" s="216"/>
      <c r="K715" s="137">
        <v>22.179</v>
      </c>
      <c r="N715" s="136"/>
      <c r="R715" s="138"/>
      <c r="T715" s="139"/>
      <c r="AA715" s="140"/>
      <c r="AT715" s="136" t="s">
        <v>168</v>
      </c>
      <c r="AU715" s="136" t="s">
        <v>102</v>
      </c>
      <c r="AV715" s="136" t="s">
        <v>166</v>
      </c>
      <c r="AW715" s="136" t="s">
        <v>112</v>
      </c>
      <c r="AX715" s="136" t="s">
        <v>16</v>
      </c>
      <c r="AY715" s="136" t="s">
        <v>161</v>
      </c>
    </row>
    <row r="716" spans="2:63" s="107" customFormat="1" ht="30.75" customHeight="1">
      <c r="B716" s="108"/>
      <c r="D716" s="116" t="s">
        <v>132</v>
      </c>
      <c r="N716" s="222">
        <f>$BK$716</f>
        <v>0</v>
      </c>
      <c r="O716" s="210"/>
      <c r="P716" s="210"/>
      <c r="Q716" s="210"/>
      <c r="R716" s="111"/>
      <c r="T716" s="112"/>
      <c r="W716" s="113">
        <f>SUM($W$717:$W$730)</f>
        <v>57.688005000000004</v>
      </c>
      <c r="Y716" s="113">
        <f>SUM($Y$717:$Y$730)</f>
        <v>0.36882495</v>
      </c>
      <c r="AA716" s="114">
        <f>SUM($AA$717:$AA$730)</f>
        <v>0</v>
      </c>
      <c r="AR716" s="110" t="s">
        <v>102</v>
      </c>
      <c r="AT716" s="110" t="s">
        <v>71</v>
      </c>
      <c r="AU716" s="110" t="s">
        <v>16</v>
      </c>
      <c r="AY716" s="110" t="s">
        <v>161</v>
      </c>
      <c r="BK716" s="115">
        <f>SUM($BK$717:$BK$730)</f>
        <v>0</v>
      </c>
    </row>
    <row r="717" spans="2:63" s="6" customFormat="1" ht="27" customHeight="1">
      <c r="B717" s="20"/>
      <c r="C717" s="117" t="s">
        <v>760</v>
      </c>
      <c r="D717" s="117" t="s">
        <v>162</v>
      </c>
      <c r="E717" s="118" t="s">
        <v>761</v>
      </c>
      <c r="F717" s="204" t="s">
        <v>762</v>
      </c>
      <c r="G717" s="205"/>
      <c r="H717" s="205"/>
      <c r="I717" s="205"/>
      <c r="J717" s="119" t="s">
        <v>174</v>
      </c>
      <c r="K717" s="120">
        <v>945.705</v>
      </c>
      <c r="L717" s="206">
        <v>0</v>
      </c>
      <c r="M717" s="205"/>
      <c r="N717" s="207">
        <f>ROUND($L$717*$K$717,2)</f>
        <v>0</v>
      </c>
      <c r="O717" s="205"/>
      <c r="P717" s="205"/>
      <c r="Q717" s="205"/>
      <c r="R717" s="21"/>
      <c r="T717" s="121"/>
      <c r="U717" s="27" t="s">
        <v>37</v>
      </c>
      <c r="V717" s="122">
        <v>0.061</v>
      </c>
      <c r="W717" s="122">
        <f>$V$717*$K$717</f>
        <v>57.688005000000004</v>
      </c>
      <c r="X717" s="122">
        <v>0.00039</v>
      </c>
      <c r="Y717" s="122">
        <f>$X$717*$K$717</f>
        <v>0.36882495</v>
      </c>
      <c r="Z717" s="122">
        <v>0</v>
      </c>
      <c r="AA717" s="123">
        <f>$Z$717*$K$717</f>
        <v>0</v>
      </c>
      <c r="AR717" s="6" t="s">
        <v>221</v>
      </c>
      <c r="AT717" s="6" t="s">
        <v>162</v>
      </c>
      <c r="AU717" s="6" t="s">
        <v>102</v>
      </c>
      <c r="AY717" s="6" t="s">
        <v>161</v>
      </c>
      <c r="BE717" s="76">
        <f>IF($U$717="základní",$N$717,0)</f>
        <v>0</v>
      </c>
      <c r="BF717" s="76">
        <f>IF($U$717="snížená",$N$717,0)</f>
        <v>0</v>
      </c>
      <c r="BG717" s="76">
        <f>IF($U$717="zákl. přenesená",$N$717,0)</f>
        <v>0</v>
      </c>
      <c r="BH717" s="76">
        <f>IF($U$717="sníž. přenesená",$N$717,0)</f>
        <v>0</v>
      </c>
      <c r="BI717" s="76">
        <f>IF($U$717="nulová",$N$717,0)</f>
        <v>0</v>
      </c>
      <c r="BJ717" s="6" t="s">
        <v>16</v>
      </c>
      <c r="BK717" s="76">
        <f>ROUND($L$717*$K$717,2)</f>
        <v>0</v>
      </c>
    </row>
    <row r="718" spans="2:51" s="6" customFormat="1" ht="15.75" customHeight="1">
      <c r="B718" s="124"/>
      <c r="E718" s="125"/>
      <c r="F718" s="211" t="s">
        <v>210</v>
      </c>
      <c r="G718" s="212"/>
      <c r="H718" s="212"/>
      <c r="I718" s="212"/>
      <c r="K718" s="125"/>
      <c r="N718" s="125"/>
      <c r="R718" s="126"/>
      <c r="T718" s="127"/>
      <c r="AA718" s="128"/>
      <c r="AT718" s="125" t="s">
        <v>168</v>
      </c>
      <c r="AU718" s="125" t="s">
        <v>102</v>
      </c>
      <c r="AV718" s="125" t="s">
        <v>16</v>
      </c>
      <c r="AW718" s="125" t="s">
        <v>112</v>
      </c>
      <c r="AX718" s="125" t="s">
        <v>72</v>
      </c>
      <c r="AY718" s="125" t="s">
        <v>161</v>
      </c>
    </row>
    <row r="719" spans="2:51" s="6" customFormat="1" ht="15.75" customHeight="1">
      <c r="B719" s="129"/>
      <c r="E719" s="130"/>
      <c r="F719" s="213" t="s">
        <v>280</v>
      </c>
      <c r="G719" s="214"/>
      <c r="H719" s="214"/>
      <c r="I719" s="214"/>
      <c r="K719" s="131">
        <v>6.99</v>
      </c>
      <c r="N719" s="130"/>
      <c r="R719" s="132"/>
      <c r="T719" s="133"/>
      <c r="AA719" s="134"/>
      <c r="AT719" s="130" t="s">
        <v>168</v>
      </c>
      <c r="AU719" s="130" t="s">
        <v>102</v>
      </c>
      <c r="AV719" s="130" t="s">
        <v>102</v>
      </c>
      <c r="AW719" s="130" t="s">
        <v>112</v>
      </c>
      <c r="AX719" s="130" t="s">
        <v>72</v>
      </c>
      <c r="AY719" s="130" t="s">
        <v>161</v>
      </c>
    </row>
    <row r="720" spans="2:51" s="6" customFormat="1" ht="15.75" customHeight="1">
      <c r="B720" s="129"/>
      <c r="E720" s="130"/>
      <c r="F720" s="213" t="s">
        <v>281</v>
      </c>
      <c r="G720" s="214"/>
      <c r="H720" s="214"/>
      <c r="I720" s="214"/>
      <c r="K720" s="131">
        <v>21.666</v>
      </c>
      <c r="N720" s="130"/>
      <c r="R720" s="132"/>
      <c r="T720" s="133"/>
      <c r="AA720" s="134"/>
      <c r="AT720" s="130" t="s">
        <v>168</v>
      </c>
      <c r="AU720" s="130" t="s">
        <v>102</v>
      </c>
      <c r="AV720" s="130" t="s">
        <v>102</v>
      </c>
      <c r="AW720" s="130" t="s">
        <v>112</v>
      </c>
      <c r="AX720" s="130" t="s">
        <v>72</v>
      </c>
      <c r="AY720" s="130" t="s">
        <v>161</v>
      </c>
    </row>
    <row r="721" spans="2:51" s="6" customFormat="1" ht="15.75" customHeight="1">
      <c r="B721" s="129"/>
      <c r="E721" s="130"/>
      <c r="F721" s="213" t="s">
        <v>282</v>
      </c>
      <c r="G721" s="214"/>
      <c r="H721" s="214"/>
      <c r="I721" s="214"/>
      <c r="K721" s="131">
        <v>5.152</v>
      </c>
      <c r="N721" s="130"/>
      <c r="R721" s="132"/>
      <c r="T721" s="133"/>
      <c r="AA721" s="134"/>
      <c r="AT721" s="130" t="s">
        <v>168</v>
      </c>
      <c r="AU721" s="130" t="s">
        <v>102</v>
      </c>
      <c r="AV721" s="130" t="s">
        <v>102</v>
      </c>
      <c r="AW721" s="130" t="s">
        <v>112</v>
      </c>
      <c r="AX721" s="130" t="s">
        <v>72</v>
      </c>
      <c r="AY721" s="130" t="s">
        <v>161</v>
      </c>
    </row>
    <row r="722" spans="2:51" s="6" customFormat="1" ht="15.75" customHeight="1">
      <c r="B722" s="124"/>
      <c r="E722" s="125"/>
      <c r="F722" s="211" t="s">
        <v>215</v>
      </c>
      <c r="G722" s="212"/>
      <c r="H722" s="212"/>
      <c r="I722" s="212"/>
      <c r="K722" s="125"/>
      <c r="N722" s="125"/>
      <c r="R722" s="126"/>
      <c r="T722" s="127"/>
      <c r="AA722" s="128"/>
      <c r="AT722" s="125" t="s">
        <v>168</v>
      </c>
      <c r="AU722" s="125" t="s">
        <v>102</v>
      </c>
      <c r="AV722" s="125" t="s">
        <v>16</v>
      </c>
      <c r="AW722" s="125" t="s">
        <v>112</v>
      </c>
      <c r="AX722" s="125" t="s">
        <v>72</v>
      </c>
      <c r="AY722" s="125" t="s">
        <v>161</v>
      </c>
    </row>
    <row r="723" spans="2:51" s="6" customFormat="1" ht="15.75" customHeight="1">
      <c r="B723" s="129"/>
      <c r="E723" s="130"/>
      <c r="F723" s="213" t="s">
        <v>283</v>
      </c>
      <c r="G723" s="214"/>
      <c r="H723" s="214"/>
      <c r="I723" s="214"/>
      <c r="K723" s="131">
        <v>17.976</v>
      </c>
      <c r="N723" s="130"/>
      <c r="R723" s="132"/>
      <c r="T723" s="133"/>
      <c r="AA723" s="134"/>
      <c r="AT723" s="130" t="s">
        <v>168</v>
      </c>
      <c r="AU723" s="130" t="s">
        <v>102</v>
      </c>
      <c r="AV723" s="130" t="s">
        <v>102</v>
      </c>
      <c r="AW723" s="130" t="s">
        <v>112</v>
      </c>
      <c r="AX723" s="130" t="s">
        <v>72</v>
      </c>
      <c r="AY723" s="130" t="s">
        <v>161</v>
      </c>
    </row>
    <row r="724" spans="2:51" s="6" customFormat="1" ht="15.75" customHeight="1">
      <c r="B724" s="124"/>
      <c r="E724" s="125"/>
      <c r="F724" s="211" t="s">
        <v>763</v>
      </c>
      <c r="G724" s="212"/>
      <c r="H724" s="212"/>
      <c r="I724" s="212"/>
      <c r="K724" s="125"/>
      <c r="N724" s="125"/>
      <c r="R724" s="126"/>
      <c r="T724" s="127"/>
      <c r="AA724" s="128"/>
      <c r="AT724" s="125" t="s">
        <v>168</v>
      </c>
      <c r="AU724" s="125" t="s">
        <v>102</v>
      </c>
      <c r="AV724" s="125" t="s">
        <v>16</v>
      </c>
      <c r="AW724" s="125" t="s">
        <v>112</v>
      </c>
      <c r="AX724" s="125" t="s">
        <v>72</v>
      </c>
      <c r="AY724" s="125" t="s">
        <v>161</v>
      </c>
    </row>
    <row r="725" spans="2:51" s="6" customFormat="1" ht="15.75" customHeight="1">
      <c r="B725" s="129"/>
      <c r="E725" s="130"/>
      <c r="F725" s="213" t="s">
        <v>764</v>
      </c>
      <c r="G725" s="214"/>
      <c r="H725" s="214"/>
      <c r="I725" s="214"/>
      <c r="K725" s="131">
        <v>146.141</v>
      </c>
      <c r="N725" s="130"/>
      <c r="R725" s="132"/>
      <c r="T725" s="133"/>
      <c r="AA725" s="134"/>
      <c r="AT725" s="130" t="s">
        <v>168</v>
      </c>
      <c r="AU725" s="130" t="s">
        <v>102</v>
      </c>
      <c r="AV725" s="130" t="s">
        <v>102</v>
      </c>
      <c r="AW725" s="130" t="s">
        <v>112</v>
      </c>
      <c r="AX725" s="130" t="s">
        <v>72</v>
      </c>
      <c r="AY725" s="130" t="s">
        <v>161</v>
      </c>
    </row>
    <row r="726" spans="2:51" s="6" customFormat="1" ht="15.75" customHeight="1">
      <c r="B726" s="129"/>
      <c r="E726" s="130"/>
      <c r="F726" s="213" t="s">
        <v>765</v>
      </c>
      <c r="G726" s="214"/>
      <c r="H726" s="214"/>
      <c r="I726" s="214"/>
      <c r="K726" s="131">
        <v>562.68</v>
      </c>
      <c r="N726" s="130"/>
      <c r="R726" s="132"/>
      <c r="T726" s="133"/>
      <c r="AA726" s="134"/>
      <c r="AT726" s="130" t="s">
        <v>168</v>
      </c>
      <c r="AU726" s="130" t="s">
        <v>102</v>
      </c>
      <c r="AV726" s="130" t="s">
        <v>102</v>
      </c>
      <c r="AW726" s="130" t="s">
        <v>112</v>
      </c>
      <c r="AX726" s="130" t="s">
        <v>72</v>
      </c>
      <c r="AY726" s="130" t="s">
        <v>161</v>
      </c>
    </row>
    <row r="727" spans="2:51" s="6" customFormat="1" ht="15.75" customHeight="1">
      <c r="B727" s="129"/>
      <c r="E727" s="130"/>
      <c r="F727" s="213" t="s">
        <v>766</v>
      </c>
      <c r="G727" s="214"/>
      <c r="H727" s="214"/>
      <c r="I727" s="214"/>
      <c r="K727" s="131">
        <v>35.1</v>
      </c>
      <c r="N727" s="130"/>
      <c r="R727" s="132"/>
      <c r="T727" s="133"/>
      <c r="AA727" s="134"/>
      <c r="AT727" s="130" t="s">
        <v>168</v>
      </c>
      <c r="AU727" s="130" t="s">
        <v>102</v>
      </c>
      <c r="AV727" s="130" t="s">
        <v>102</v>
      </c>
      <c r="AW727" s="130" t="s">
        <v>112</v>
      </c>
      <c r="AX727" s="130" t="s">
        <v>72</v>
      </c>
      <c r="AY727" s="130" t="s">
        <v>161</v>
      </c>
    </row>
    <row r="728" spans="2:51" s="6" customFormat="1" ht="15.75" customHeight="1">
      <c r="B728" s="124"/>
      <c r="E728" s="125"/>
      <c r="F728" s="211" t="s">
        <v>671</v>
      </c>
      <c r="G728" s="212"/>
      <c r="H728" s="212"/>
      <c r="I728" s="212"/>
      <c r="K728" s="125"/>
      <c r="N728" s="125"/>
      <c r="R728" s="126"/>
      <c r="T728" s="127"/>
      <c r="AA728" s="128"/>
      <c r="AT728" s="125" t="s">
        <v>168</v>
      </c>
      <c r="AU728" s="125" t="s">
        <v>102</v>
      </c>
      <c r="AV728" s="125" t="s">
        <v>16</v>
      </c>
      <c r="AW728" s="125" t="s">
        <v>112</v>
      </c>
      <c r="AX728" s="125" t="s">
        <v>72</v>
      </c>
      <c r="AY728" s="125" t="s">
        <v>161</v>
      </c>
    </row>
    <row r="729" spans="2:51" s="6" customFormat="1" ht="15.75" customHeight="1">
      <c r="B729" s="129"/>
      <c r="E729" s="130"/>
      <c r="F729" s="213" t="s">
        <v>767</v>
      </c>
      <c r="G729" s="214"/>
      <c r="H729" s="214"/>
      <c r="I729" s="214"/>
      <c r="K729" s="131">
        <v>150</v>
      </c>
      <c r="N729" s="130"/>
      <c r="R729" s="132"/>
      <c r="T729" s="133"/>
      <c r="AA729" s="134"/>
      <c r="AT729" s="130" t="s">
        <v>168</v>
      </c>
      <c r="AU729" s="130" t="s">
        <v>102</v>
      </c>
      <c r="AV729" s="130" t="s">
        <v>102</v>
      </c>
      <c r="AW729" s="130" t="s">
        <v>112</v>
      </c>
      <c r="AX729" s="130" t="s">
        <v>72</v>
      </c>
      <c r="AY729" s="130" t="s">
        <v>161</v>
      </c>
    </row>
    <row r="730" spans="2:51" s="6" customFormat="1" ht="15.75" customHeight="1">
      <c r="B730" s="135"/>
      <c r="E730" s="136"/>
      <c r="F730" s="215" t="s">
        <v>171</v>
      </c>
      <c r="G730" s="216"/>
      <c r="H730" s="216"/>
      <c r="I730" s="216"/>
      <c r="K730" s="137">
        <v>945.705</v>
      </c>
      <c r="N730" s="136"/>
      <c r="R730" s="138"/>
      <c r="T730" s="139"/>
      <c r="AA730" s="140"/>
      <c r="AT730" s="136" t="s">
        <v>168</v>
      </c>
      <c r="AU730" s="136" t="s">
        <v>102</v>
      </c>
      <c r="AV730" s="136" t="s">
        <v>166</v>
      </c>
      <c r="AW730" s="136" t="s">
        <v>112</v>
      </c>
      <c r="AX730" s="136" t="s">
        <v>16</v>
      </c>
      <c r="AY730" s="136" t="s">
        <v>161</v>
      </c>
    </row>
    <row r="731" spans="2:63" s="107" customFormat="1" ht="37.5" customHeight="1">
      <c r="B731" s="108"/>
      <c r="D731" s="109" t="s">
        <v>133</v>
      </c>
      <c r="N731" s="209">
        <f>$BK$731</f>
        <v>0</v>
      </c>
      <c r="O731" s="210"/>
      <c r="P731" s="210"/>
      <c r="Q731" s="210"/>
      <c r="R731" s="111"/>
      <c r="T731" s="112"/>
      <c r="W731" s="113">
        <f>$W$732</f>
        <v>0</v>
      </c>
      <c r="Y731" s="113">
        <f>$Y$732</f>
        <v>0</v>
      </c>
      <c r="AA731" s="114">
        <f>$AA$732</f>
        <v>0</v>
      </c>
      <c r="AR731" s="110" t="s">
        <v>176</v>
      </c>
      <c r="AT731" s="110" t="s">
        <v>71</v>
      </c>
      <c r="AU731" s="110" t="s">
        <v>72</v>
      </c>
      <c r="AY731" s="110" t="s">
        <v>161</v>
      </c>
      <c r="BK731" s="115">
        <f>$BK$732</f>
        <v>0</v>
      </c>
    </row>
    <row r="732" spans="2:63" s="107" customFormat="1" ht="21" customHeight="1">
      <c r="B732" s="108"/>
      <c r="D732" s="116" t="s">
        <v>134</v>
      </c>
      <c r="N732" s="222">
        <f>$BK$732</f>
        <v>0</v>
      </c>
      <c r="O732" s="210"/>
      <c r="P732" s="210"/>
      <c r="Q732" s="210"/>
      <c r="R732" s="111"/>
      <c r="T732" s="112"/>
      <c r="W732" s="113">
        <f>SUM($W$733:$W$734)</f>
        <v>0</v>
      </c>
      <c r="Y732" s="113">
        <f>SUM($Y$733:$Y$734)</f>
        <v>0</v>
      </c>
      <c r="AA732" s="114">
        <f>SUM($AA$733:$AA$734)</f>
        <v>0</v>
      </c>
      <c r="AR732" s="110" t="s">
        <v>176</v>
      </c>
      <c r="AT732" s="110" t="s">
        <v>71</v>
      </c>
      <c r="AU732" s="110" t="s">
        <v>16</v>
      </c>
      <c r="AY732" s="110" t="s">
        <v>161</v>
      </c>
      <c r="BK732" s="115">
        <f>SUM($BK$733:$BK$734)</f>
        <v>0</v>
      </c>
    </row>
    <row r="733" spans="2:63" s="6" customFormat="1" ht="27" customHeight="1">
      <c r="B733" s="20"/>
      <c r="C733" s="117" t="s">
        <v>768</v>
      </c>
      <c r="D733" s="117" t="s">
        <v>162</v>
      </c>
      <c r="E733" s="118" t="s">
        <v>769</v>
      </c>
      <c r="F733" s="204" t="s">
        <v>770</v>
      </c>
      <c r="G733" s="205"/>
      <c r="H733" s="205"/>
      <c r="I733" s="205"/>
      <c r="J733" s="119" t="s">
        <v>771</v>
      </c>
      <c r="K733" s="120">
        <v>1</v>
      </c>
      <c r="L733" s="206">
        <v>0</v>
      </c>
      <c r="M733" s="205"/>
      <c r="N733" s="207">
        <f>ROUND($L$733*$K$733,2)</f>
        <v>0</v>
      </c>
      <c r="O733" s="205"/>
      <c r="P733" s="205"/>
      <c r="Q733" s="205"/>
      <c r="R733" s="21"/>
      <c r="T733" s="121"/>
      <c r="U733" s="27" t="s">
        <v>37</v>
      </c>
      <c r="V733" s="122">
        <v>0</v>
      </c>
      <c r="W733" s="122">
        <f>$V$733*$K$733</f>
        <v>0</v>
      </c>
      <c r="X733" s="122">
        <v>0</v>
      </c>
      <c r="Y733" s="122">
        <f>$X$733*$K$733</f>
        <v>0</v>
      </c>
      <c r="Z733" s="122">
        <v>0</v>
      </c>
      <c r="AA733" s="123">
        <f>$Z$733*$K$733</f>
        <v>0</v>
      </c>
      <c r="AR733" s="6" t="s">
        <v>772</v>
      </c>
      <c r="AT733" s="6" t="s">
        <v>162</v>
      </c>
      <c r="AU733" s="6" t="s">
        <v>102</v>
      </c>
      <c r="AY733" s="6" t="s">
        <v>161</v>
      </c>
      <c r="BE733" s="76">
        <f>IF($U$733="základní",$N$733,0)</f>
        <v>0</v>
      </c>
      <c r="BF733" s="76">
        <f>IF($U$733="snížená",$N$733,0)</f>
        <v>0</v>
      </c>
      <c r="BG733" s="76">
        <f>IF($U$733="zákl. přenesená",$N$733,0)</f>
        <v>0</v>
      </c>
      <c r="BH733" s="76">
        <f>IF($U$733="sníž. přenesená",$N$733,0)</f>
        <v>0</v>
      </c>
      <c r="BI733" s="76">
        <f>IF($U$733="nulová",$N$733,0)</f>
        <v>0</v>
      </c>
      <c r="BJ733" s="6" t="s">
        <v>16</v>
      </c>
      <c r="BK733" s="76">
        <f>ROUND($L$733*$K$733,2)</f>
        <v>0</v>
      </c>
    </row>
    <row r="734" spans="2:63" s="6" customFormat="1" ht="27" customHeight="1">
      <c r="B734" s="20"/>
      <c r="C734" s="117" t="s">
        <v>767</v>
      </c>
      <c r="D734" s="117" t="s">
        <v>162</v>
      </c>
      <c r="E734" s="118" t="s">
        <v>773</v>
      </c>
      <c r="F734" s="204" t="s">
        <v>774</v>
      </c>
      <c r="G734" s="205"/>
      <c r="H734" s="205"/>
      <c r="I734" s="205"/>
      <c r="J734" s="119" t="s">
        <v>771</v>
      </c>
      <c r="K734" s="120">
        <v>1</v>
      </c>
      <c r="L734" s="206">
        <v>0</v>
      </c>
      <c r="M734" s="205"/>
      <c r="N734" s="207">
        <f>ROUND($L$734*$K$734,2)</f>
        <v>0</v>
      </c>
      <c r="O734" s="205"/>
      <c r="P734" s="205"/>
      <c r="Q734" s="205"/>
      <c r="R734" s="21"/>
      <c r="T734" s="121"/>
      <c r="U734" s="27" t="s">
        <v>37</v>
      </c>
      <c r="V734" s="122">
        <v>0</v>
      </c>
      <c r="W734" s="122">
        <f>$V$734*$K$734</f>
        <v>0</v>
      </c>
      <c r="X734" s="122">
        <v>0</v>
      </c>
      <c r="Y734" s="122">
        <f>$X$734*$K$734</f>
        <v>0</v>
      </c>
      <c r="Z734" s="122">
        <v>0</v>
      </c>
      <c r="AA734" s="123">
        <f>$Z$734*$K$734</f>
        <v>0</v>
      </c>
      <c r="AR734" s="6" t="s">
        <v>772</v>
      </c>
      <c r="AT734" s="6" t="s">
        <v>162</v>
      </c>
      <c r="AU734" s="6" t="s">
        <v>102</v>
      </c>
      <c r="AY734" s="6" t="s">
        <v>161</v>
      </c>
      <c r="BE734" s="76">
        <f>IF($U$734="základní",$N$734,0)</f>
        <v>0</v>
      </c>
      <c r="BF734" s="76">
        <f>IF($U$734="snížená",$N$734,0)</f>
        <v>0</v>
      </c>
      <c r="BG734" s="76">
        <f>IF($U$734="zákl. přenesená",$N$734,0)</f>
        <v>0</v>
      </c>
      <c r="BH734" s="76">
        <f>IF($U$734="sníž. přenesená",$N$734,0)</f>
        <v>0</v>
      </c>
      <c r="BI734" s="76">
        <f>IF($U$734="nulová",$N$734,0)</f>
        <v>0</v>
      </c>
      <c r="BJ734" s="6" t="s">
        <v>16</v>
      </c>
      <c r="BK734" s="76">
        <f>ROUND($L$734*$K$734,2)</f>
        <v>0</v>
      </c>
    </row>
    <row r="735" spans="2:63" s="107" customFormat="1" ht="37.5" customHeight="1">
      <c r="B735" s="108"/>
      <c r="D735" s="109" t="s">
        <v>135</v>
      </c>
      <c r="N735" s="209">
        <f>$BK$735</f>
        <v>0</v>
      </c>
      <c r="O735" s="210"/>
      <c r="P735" s="210"/>
      <c r="Q735" s="210"/>
      <c r="R735" s="111"/>
      <c r="T735" s="112"/>
      <c r="W735" s="113">
        <f>$W$736+$W$745</f>
        <v>0</v>
      </c>
      <c r="Y735" s="113">
        <f>$Y$736+$Y$745</f>
        <v>0</v>
      </c>
      <c r="AA735" s="114">
        <f>$AA$736+$AA$745</f>
        <v>0</v>
      </c>
      <c r="AR735" s="110" t="s">
        <v>166</v>
      </c>
      <c r="AT735" s="110" t="s">
        <v>71</v>
      </c>
      <c r="AU735" s="110" t="s">
        <v>72</v>
      </c>
      <c r="AY735" s="110" t="s">
        <v>161</v>
      </c>
      <c r="BK735" s="115">
        <f>$BK$736+$BK$745</f>
        <v>0</v>
      </c>
    </row>
    <row r="736" spans="2:63" s="107" customFormat="1" ht="21" customHeight="1">
      <c r="B736" s="108"/>
      <c r="D736" s="116" t="s">
        <v>136</v>
      </c>
      <c r="N736" s="222">
        <f>$BK$736</f>
        <v>0</v>
      </c>
      <c r="O736" s="210"/>
      <c r="P736" s="210"/>
      <c r="Q736" s="210"/>
      <c r="R736" s="111"/>
      <c r="T736" s="112"/>
      <c r="W736" s="113">
        <f>SUM($W$737:$W$744)</f>
        <v>0</v>
      </c>
      <c r="Y736" s="113">
        <f>SUM($Y$737:$Y$744)</f>
        <v>0</v>
      </c>
      <c r="AA736" s="114">
        <f>SUM($AA$737:$AA$744)</f>
        <v>0</v>
      </c>
      <c r="AR736" s="110" t="s">
        <v>166</v>
      </c>
      <c r="AT736" s="110" t="s">
        <v>71</v>
      </c>
      <c r="AU736" s="110" t="s">
        <v>16</v>
      </c>
      <c r="AY736" s="110" t="s">
        <v>161</v>
      </c>
      <c r="BK736" s="115">
        <f>SUM($BK$737:$BK$744)</f>
        <v>0</v>
      </c>
    </row>
    <row r="737" spans="2:63" s="6" customFormat="1" ht="15.75" customHeight="1">
      <c r="B737" s="20"/>
      <c r="C737" s="117" t="s">
        <v>775</v>
      </c>
      <c r="D737" s="117" t="s">
        <v>162</v>
      </c>
      <c r="E737" s="118" t="s">
        <v>776</v>
      </c>
      <c r="F737" s="204" t="s">
        <v>777</v>
      </c>
      <c r="G737" s="205"/>
      <c r="H737" s="205"/>
      <c r="I737" s="205"/>
      <c r="J737" s="119" t="s">
        <v>771</v>
      </c>
      <c r="K737" s="120">
        <v>4</v>
      </c>
      <c r="L737" s="206">
        <v>0</v>
      </c>
      <c r="M737" s="205"/>
      <c r="N737" s="207">
        <f>ROUND($L$737*$K$737,2)</f>
        <v>0</v>
      </c>
      <c r="O737" s="205"/>
      <c r="P737" s="205"/>
      <c r="Q737" s="205"/>
      <c r="R737" s="21"/>
      <c r="T737" s="121"/>
      <c r="U737" s="27" t="s">
        <v>37</v>
      </c>
      <c r="V737" s="122">
        <v>0</v>
      </c>
      <c r="W737" s="122">
        <f>$V$737*$K$737</f>
        <v>0</v>
      </c>
      <c r="X737" s="122">
        <v>0</v>
      </c>
      <c r="Y737" s="122">
        <f>$X$737*$K$737</f>
        <v>0</v>
      </c>
      <c r="Z737" s="122">
        <v>0</v>
      </c>
      <c r="AA737" s="123">
        <f>$Z$737*$K$737</f>
        <v>0</v>
      </c>
      <c r="AR737" s="6" t="s">
        <v>772</v>
      </c>
      <c r="AT737" s="6" t="s">
        <v>162</v>
      </c>
      <c r="AU737" s="6" t="s">
        <v>102</v>
      </c>
      <c r="AY737" s="6" t="s">
        <v>161</v>
      </c>
      <c r="BE737" s="76">
        <f>IF($U$737="základní",$N$737,0)</f>
        <v>0</v>
      </c>
      <c r="BF737" s="76">
        <f>IF($U$737="snížená",$N$737,0)</f>
        <v>0</v>
      </c>
      <c r="BG737" s="76">
        <f>IF($U$737="zákl. přenesená",$N$737,0)</f>
        <v>0</v>
      </c>
      <c r="BH737" s="76">
        <f>IF($U$737="sníž. přenesená",$N$737,0)</f>
        <v>0</v>
      </c>
      <c r="BI737" s="76">
        <f>IF($U$737="nulová",$N$737,0)</f>
        <v>0</v>
      </c>
      <c r="BJ737" s="6" t="s">
        <v>16</v>
      </c>
      <c r="BK737" s="76">
        <f>ROUND($L$737*$K$737,2)</f>
        <v>0</v>
      </c>
    </row>
    <row r="738" spans="2:63" s="6" customFormat="1" ht="15.75" customHeight="1">
      <c r="B738" s="20"/>
      <c r="C738" s="117" t="s">
        <v>778</v>
      </c>
      <c r="D738" s="117" t="s">
        <v>162</v>
      </c>
      <c r="E738" s="118" t="s">
        <v>779</v>
      </c>
      <c r="F738" s="204" t="s">
        <v>780</v>
      </c>
      <c r="G738" s="205"/>
      <c r="H738" s="205"/>
      <c r="I738" s="205"/>
      <c r="J738" s="119" t="s">
        <v>174</v>
      </c>
      <c r="K738" s="120">
        <v>840</v>
      </c>
      <c r="L738" s="206">
        <v>0</v>
      </c>
      <c r="M738" s="205"/>
      <c r="N738" s="207">
        <f>ROUND($L$738*$K$738,2)</f>
        <v>0</v>
      </c>
      <c r="O738" s="205"/>
      <c r="P738" s="205"/>
      <c r="Q738" s="205"/>
      <c r="R738" s="21"/>
      <c r="T738" s="121"/>
      <c r="U738" s="27" t="s">
        <v>37</v>
      </c>
      <c r="V738" s="122">
        <v>0</v>
      </c>
      <c r="W738" s="122">
        <f>$V$738*$K$738</f>
        <v>0</v>
      </c>
      <c r="X738" s="122">
        <v>0</v>
      </c>
      <c r="Y738" s="122">
        <f>$X$738*$K$738</f>
        <v>0</v>
      </c>
      <c r="Z738" s="122">
        <v>0</v>
      </c>
      <c r="AA738" s="123">
        <f>$Z$738*$K$738</f>
        <v>0</v>
      </c>
      <c r="AR738" s="6" t="s">
        <v>772</v>
      </c>
      <c r="AT738" s="6" t="s">
        <v>162</v>
      </c>
      <c r="AU738" s="6" t="s">
        <v>102</v>
      </c>
      <c r="AY738" s="6" t="s">
        <v>161</v>
      </c>
      <c r="BE738" s="76">
        <f>IF($U$738="základní",$N$738,0)</f>
        <v>0</v>
      </c>
      <c r="BF738" s="76">
        <f>IF($U$738="snížená",$N$738,0)</f>
        <v>0</v>
      </c>
      <c r="BG738" s="76">
        <f>IF($U$738="zákl. přenesená",$N$738,0)</f>
        <v>0</v>
      </c>
      <c r="BH738" s="76">
        <f>IF($U$738="sníž. přenesená",$N$738,0)</f>
        <v>0</v>
      </c>
      <c r="BI738" s="76">
        <f>IF($U$738="nulová",$N$738,0)</f>
        <v>0</v>
      </c>
      <c r="BJ738" s="6" t="s">
        <v>16</v>
      </c>
      <c r="BK738" s="76">
        <f>ROUND($L$738*$K$738,2)</f>
        <v>0</v>
      </c>
    </row>
    <row r="739" spans="2:51" s="6" customFormat="1" ht="15.75" customHeight="1">
      <c r="B739" s="129"/>
      <c r="E739" s="130"/>
      <c r="F739" s="213" t="s">
        <v>781</v>
      </c>
      <c r="G739" s="214"/>
      <c r="H739" s="214"/>
      <c r="I739" s="214"/>
      <c r="K739" s="131">
        <v>840</v>
      </c>
      <c r="N739" s="130"/>
      <c r="R739" s="132"/>
      <c r="T739" s="133"/>
      <c r="AA739" s="134"/>
      <c r="AT739" s="130" t="s">
        <v>168</v>
      </c>
      <c r="AU739" s="130" t="s">
        <v>102</v>
      </c>
      <c r="AV739" s="130" t="s">
        <v>102</v>
      </c>
      <c r="AW739" s="130" t="s">
        <v>112</v>
      </c>
      <c r="AX739" s="130" t="s">
        <v>16</v>
      </c>
      <c r="AY739" s="130" t="s">
        <v>161</v>
      </c>
    </row>
    <row r="740" spans="2:63" s="6" customFormat="1" ht="15.75" customHeight="1">
      <c r="B740" s="20"/>
      <c r="C740" s="117" t="s">
        <v>782</v>
      </c>
      <c r="D740" s="117" t="s">
        <v>162</v>
      </c>
      <c r="E740" s="118" t="s">
        <v>783</v>
      </c>
      <c r="F740" s="204" t="s">
        <v>784</v>
      </c>
      <c r="G740" s="205"/>
      <c r="H740" s="205"/>
      <c r="I740" s="205"/>
      <c r="J740" s="119" t="s">
        <v>785</v>
      </c>
      <c r="K740" s="120">
        <v>5</v>
      </c>
      <c r="L740" s="206">
        <v>0</v>
      </c>
      <c r="M740" s="205"/>
      <c r="N740" s="207">
        <f>ROUND($L$740*$K$740,2)</f>
        <v>0</v>
      </c>
      <c r="O740" s="205"/>
      <c r="P740" s="205"/>
      <c r="Q740" s="205"/>
      <c r="R740" s="21"/>
      <c r="T740" s="121"/>
      <c r="U740" s="27" t="s">
        <v>37</v>
      </c>
      <c r="V740" s="122">
        <v>0</v>
      </c>
      <c r="W740" s="122">
        <f>$V$740*$K$740</f>
        <v>0</v>
      </c>
      <c r="X740" s="122">
        <v>0</v>
      </c>
      <c r="Y740" s="122">
        <f>$X$740*$K$740</f>
        <v>0</v>
      </c>
      <c r="Z740" s="122">
        <v>0</v>
      </c>
      <c r="AA740" s="123">
        <f>$Z$740*$K$740</f>
        <v>0</v>
      </c>
      <c r="AR740" s="6" t="s">
        <v>772</v>
      </c>
      <c r="AT740" s="6" t="s">
        <v>162</v>
      </c>
      <c r="AU740" s="6" t="s">
        <v>102</v>
      </c>
      <c r="AY740" s="6" t="s">
        <v>161</v>
      </c>
      <c r="BE740" s="76">
        <f>IF($U$740="základní",$N$740,0)</f>
        <v>0</v>
      </c>
      <c r="BF740" s="76">
        <f>IF($U$740="snížená",$N$740,0)</f>
        <v>0</v>
      </c>
      <c r="BG740" s="76">
        <f>IF($U$740="zákl. přenesená",$N$740,0)</f>
        <v>0</v>
      </c>
      <c r="BH740" s="76">
        <f>IF($U$740="sníž. přenesená",$N$740,0)</f>
        <v>0</v>
      </c>
      <c r="BI740" s="76">
        <f>IF($U$740="nulová",$N$740,0)</f>
        <v>0</v>
      </c>
      <c r="BJ740" s="6" t="s">
        <v>16</v>
      </c>
      <c r="BK740" s="76">
        <f>ROUND($L$740*$K$740,2)</f>
        <v>0</v>
      </c>
    </row>
    <row r="741" spans="2:63" s="6" customFormat="1" ht="15.75" customHeight="1">
      <c r="B741" s="20"/>
      <c r="C741" s="117" t="s">
        <v>786</v>
      </c>
      <c r="D741" s="117" t="s">
        <v>162</v>
      </c>
      <c r="E741" s="118" t="s">
        <v>787</v>
      </c>
      <c r="F741" s="204" t="s">
        <v>788</v>
      </c>
      <c r="G741" s="205"/>
      <c r="H741" s="205"/>
      <c r="I741" s="205"/>
      <c r="J741" s="119" t="s">
        <v>771</v>
      </c>
      <c r="K741" s="120">
        <v>1</v>
      </c>
      <c r="L741" s="206">
        <v>0</v>
      </c>
      <c r="M741" s="205"/>
      <c r="N741" s="207">
        <f>ROUND($L$741*$K$741,2)</f>
        <v>0</v>
      </c>
      <c r="O741" s="205"/>
      <c r="P741" s="205"/>
      <c r="Q741" s="205"/>
      <c r="R741" s="21"/>
      <c r="T741" s="121"/>
      <c r="U741" s="27" t="s">
        <v>37</v>
      </c>
      <c r="V741" s="122">
        <v>0</v>
      </c>
      <c r="W741" s="122">
        <f>$V$741*$K$741</f>
        <v>0</v>
      </c>
      <c r="X741" s="122">
        <v>0</v>
      </c>
      <c r="Y741" s="122">
        <f>$X$741*$K$741</f>
        <v>0</v>
      </c>
      <c r="Z741" s="122">
        <v>0</v>
      </c>
      <c r="AA741" s="123">
        <f>$Z$741*$K$741</f>
        <v>0</v>
      </c>
      <c r="AR741" s="6" t="s">
        <v>772</v>
      </c>
      <c r="AT741" s="6" t="s">
        <v>162</v>
      </c>
      <c r="AU741" s="6" t="s">
        <v>102</v>
      </c>
      <c r="AY741" s="6" t="s">
        <v>161</v>
      </c>
      <c r="BE741" s="76">
        <f>IF($U$741="základní",$N$741,0)</f>
        <v>0</v>
      </c>
      <c r="BF741" s="76">
        <f>IF($U$741="snížená",$N$741,0)</f>
        <v>0</v>
      </c>
      <c r="BG741" s="76">
        <f>IF($U$741="zákl. přenesená",$N$741,0)</f>
        <v>0</v>
      </c>
      <c r="BH741" s="76">
        <f>IF($U$741="sníž. přenesená",$N$741,0)</f>
        <v>0</v>
      </c>
      <c r="BI741" s="76">
        <f>IF($U$741="nulová",$N$741,0)</f>
        <v>0</v>
      </c>
      <c r="BJ741" s="6" t="s">
        <v>16</v>
      </c>
      <c r="BK741" s="76">
        <f>ROUND($L$741*$K$741,2)</f>
        <v>0</v>
      </c>
    </row>
    <row r="742" spans="2:51" s="6" customFormat="1" ht="15.75" customHeight="1">
      <c r="B742" s="129"/>
      <c r="E742" s="130"/>
      <c r="F742" s="213" t="s">
        <v>16</v>
      </c>
      <c r="G742" s="214"/>
      <c r="H742" s="214"/>
      <c r="I742" s="214"/>
      <c r="K742" s="131">
        <v>1</v>
      </c>
      <c r="N742" s="130"/>
      <c r="R742" s="132"/>
      <c r="T742" s="133"/>
      <c r="AA742" s="134"/>
      <c r="AT742" s="130" t="s">
        <v>168</v>
      </c>
      <c r="AU742" s="130" t="s">
        <v>102</v>
      </c>
      <c r="AV742" s="130" t="s">
        <v>102</v>
      </c>
      <c r="AW742" s="130" t="s">
        <v>112</v>
      </c>
      <c r="AX742" s="130" t="s">
        <v>16</v>
      </c>
      <c r="AY742" s="130" t="s">
        <v>161</v>
      </c>
    </row>
    <row r="743" spans="2:63" s="6" customFormat="1" ht="15.75" customHeight="1">
      <c r="B743" s="20"/>
      <c r="C743" s="117" t="s">
        <v>789</v>
      </c>
      <c r="D743" s="117" t="s">
        <v>162</v>
      </c>
      <c r="E743" s="118" t="s">
        <v>790</v>
      </c>
      <c r="F743" s="204" t="s">
        <v>791</v>
      </c>
      <c r="G743" s="205"/>
      <c r="H743" s="205"/>
      <c r="I743" s="205"/>
      <c r="J743" s="119" t="s">
        <v>792</v>
      </c>
      <c r="K743" s="120">
        <v>60</v>
      </c>
      <c r="L743" s="206">
        <v>0</v>
      </c>
      <c r="M743" s="205"/>
      <c r="N743" s="207">
        <f>ROUND($L$743*$K$743,2)</f>
        <v>0</v>
      </c>
      <c r="O743" s="205"/>
      <c r="P743" s="205"/>
      <c r="Q743" s="205"/>
      <c r="R743" s="21"/>
      <c r="T743" s="121"/>
      <c r="U743" s="27" t="s">
        <v>37</v>
      </c>
      <c r="V743" s="122">
        <v>0</v>
      </c>
      <c r="W743" s="122">
        <f>$V$743*$K$743</f>
        <v>0</v>
      </c>
      <c r="X743" s="122">
        <v>0</v>
      </c>
      <c r="Y743" s="122">
        <f>$X$743*$K$743</f>
        <v>0</v>
      </c>
      <c r="Z743" s="122">
        <v>0</v>
      </c>
      <c r="AA743" s="123">
        <f>$Z$743*$K$743</f>
        <v>0</v>
      </c>
      <c r="AR743" s="6" t="s">
        <v>772</v>
      </c>
      <c r="AT743" s="6" t="s">
        <v>162</v>
      </c>
      <c r="AU743" s="6" t="s">
        <v>102</v>
      </c>
      <c r="AY743" s="6" t="s">
        <v>161</v>
      </c>
      <c r="BE743" s="76">
        <f>IF($U$743="základní",$N$743,0)</f>
        <v>0</v>
      </c>
      <c r="BF743" s="76">
        <f>IF($U$743="snížená",$N$743,0)</f>
        <v>0</v>
      </c>
      <c r="BG743" s="76">
        <f>IF($U$743="zákl. přenesená",$N$743,0)</f>
        <v>0</v>
      </c>
      <c r="BH743" s="76">
        <f>IF($U$743="sníž. přenesená",$N$743,0)</f>
        <v>0</v>
      </c>
      <c r="BI743" s="76">
        <f>IF($U$743="nulová",$N$743,0)</f>
        <v>0</v>
      </c>
      <c r="BJ743" s="6" t="s">
        <v>16</v>
      </c>
      <c r="BK743" s="76">
        <f>ROUND($L$743*$K$743,2)</f>
        <v>0</v>
      </c>
    </row>
    <row r="744" spans="2:51" s="6" customFormat="1" ht="15.75" customHeight="1">
      <c r="B744" s="129"/>
      <c r="E744" s="130"/>
      <c r="F744" s="213" t="s">
        <v>793</v>
      </c>
      <c r="G744" s="214"/>
      <c r="H744" s="214"/>
      <c r="I744" s="214"/>
      <c r="K744" s="131">
        <v>60</v>
      </c>
      <c r="N744" s="130"/>
      <c r="R744" s="132"/>
      <c r="T744" s="133"/>
      <c r="AA744" s="134"/>
      <c r="AT744" s="130" t="s">
        <v>168</v>
      </c>
      <c r="AU744" s="130" t="s">
        <v>102</v>
      </c>
      <c r="AV744" s="130" t="s">
        <v>102</v>
      </c>
      <c r="AW744" s="130" t="s">
        <v>112</v>
      </c>
      <c r="AX744" s="130" t="s">
        <v>16</v>
      </c>
      <c r="AY744" s="130" t="s">
        <v>161</v>
      </c>
    </row>
    <row r="745" spans="2:63" s="107" customFormat="1" ht="30.75" customHeight="1">
      <c r="B745" s="108"/>
      <c r="D745" s="116" t="s">
        <v>137</v>
      </c>
      <c r="N745" s="222">
        <f>$BK$745</f>
        <v>0</v>
      </c>
      <c r="O745" s="210"/>
      <c r="P745" s="210"/>
      <c r="Q745" s="210"/>
      <c r="R745" s="111"/>
      <c r="T745" s="112"/>
      <c r="W745" s="113">
        <f>$W$746</f>
        <v>0</v>
      </c>
      <c r="Y745" s="113">
        <f>$Y$746</f>
        <v>0</v>
      </c>
      <c r="AA745" s="114">
        <f>$AA$746</f>
        <v>0</v>
      </c>
      <c r="AR745" s="110" t="s">
        <v>166</v>
      </c>
      <c r="AT745" s="110" t="s">
        <v>71</v>
      </c>
      <c r="AU745" s="110" t="s">
        <v>16</v>
      </c>
      <c r="AY745" s="110" t="s">
        <v>161</v>
      </c>
      <c r="BK745" s="115">
        <f>$BK$746</f>
        <v>0</v>
      </c>
    </row>
    <row r="746" spans="2:63" s="6" customFormat="1" ht="15.75" customHeight="1">
      <c r="B746" s="20"/>
      <c r="C746" s="117" t="s">
        <v>794</v>
      </c>
      <c r="D746" s="117" t="s">
        <v>162</v>
      </c>
      <c r="E746" s="118" t="s">
        <v>795</v>
      </c>
      <c r="F746" s="204" t="s">
        <v>140</v>
      </c>
      <c r="G746" s="205"/>
      <c r="H746" s="205"/>
      <c r="I746" s="205"/>
      <c r="J746" s="119" t="s">
        <v>796</v>
      </c>
      <c r="K746" s="120">
        <v>1</v>
      </c>
      <c r="L746" s="206">
        <v>0</v>
      </c>
      <c r="M746" s="205"/>
      <c r="N746" s="207">
        <f>ROUND($L$746*$K$746,2)</f>
        <v>0</v>
      </c>
      <c r="O746" s="205"/>
      <c r="P746" s="205"/>
      <c r="Q746" s="205"/>
      <c r="R746" s="21"/>
      <c r="T746" s="121"/>
      <c r="U746" s="27" t="s">
        <v>37</v>
      </c>
      <c r="V746" s="122">
        <v>0</v>
      </c>
      <c r="W746" s="122">
        <f>$V$746*$K$746</f>
        <v>0</v>
      </c>
      <c r="X746" s="122">
        <v>0</v>
      </c>
      <c r="Y746" s="122">
        <f>$X$746*$K$746</f>
        <v>0</v>
      </c>
      <c r="Z746" s="122">
        <v>0</v>
      </c>
      <c r="AA746" s="123">
        <f>$Z$746*$K$746</f>
        <v>0</v>
      </c>
      <c r="AR746" s="6" t="s">
        <v>772</v>
      </c>
      <c r="AT746" s="6" t="s">
        <v>162</v>
      </c>
      <c r="AU746" s="6" t="s">
        <v>102</v>
      </c>
      <c r="AY746" s="6" t="s">
        <v>161</v>
      </c>
      <c r="BE746" s="76">
        <f>IF($U$746="základní",$N$746,0)</f>
        <v>0</v>
      </c>
      <c r="BF746" s="76">
        <f>IF($U$746="snížená",$N$746,0)</f>
        <v>0</v>
      </c>
      <c r="BG746" s="76">
        <f>IF($U$746="zákl. přenesená",$N$746,0)</f>
        <v>0</v>
      </c>
      <c r="BH746" s="76">
        <f>IF($U$746="sníž. přenesená",$N$746,0)</f>
        <v>0</v>
      </c>
      <c r="BI746" s="76">
        <f>IF($U$746="nulová",$N$746,0)</f>
        <v>0</v>
      </c>
      <c r="BJ746" s="6" t="s">
        <v>16</v>
      </c>
      <c r="BK746" s="76">
        <f>ROUND($L$746*$K$746,2)</f>
        <v>0</v>
      </c>
    </row>
    <row r="747" spans="2:63" s="6" customFormat="1" ht="51" customHeight="1">
      <c r="B747" s="20"/>
      <c r="D747" s="109" t="s">
        <v>797</v>
      </c>
      <c r="N747" s="223">
        <f>$BK$747</f>
        <v>0</v>
      </c>
      <c r="O747" s="223"/>
      <c r="P747" s="223"/>
      <c r="Q747" s="223"/>
      <c r="R747" s="21"/>
      <c r="T747" s="146"/>
      <c r="U747" s="39"/>
      <c r="V747" s="39"/>
      <c r="W747" s="39"/>
      <c r="X747" s="39"/>
      <c r="Y747" s="39"/>
      <c r="Z747" s="39"/>
      <c r="AA747" s="41"/>
      <c r="AT747" s="6" t="s">
        <v>71</v>
      </c>
      <c r="AU747" s="6" t="s">
        <v>72</v>
      </c>
      <c r="AY747" s="6" t="s">
        <v>798</v>
      </c>
      <c r="BK747" s="76">
        <v>0</v>
      </c>
    </row>
    <row r="748" spans="2:46" s="6" customFormat="1" ht="27.75" customHeight="1">
      <c r="B748" s="42"/>
      <c r="C748" s="43"/>
      <c r="D748" s="43"/>
      <c r="E748" s="4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4"/>
      <c r="AT748" s="2"/>
    </row>
    <row r="65533" ht="14.25" customHeight="1">
      <c r="N65533" s="2">
        <f>$N$747</f>
        <v>0</v>
      </c>
    </row>
  </sheetData>
  <sheetProtection/>
  <mergeCells count="1005">
    <mergeCell ref="N747:Q747"/>
    <mergeCell ref="N735:Q735"/>
    <mergeCell ref="N736:Q736"/>
    <mergeCell ref="N745:Q745"/>
    <mergeCell ref="H1:K1"/>
    <mergeCell ref="S2:AC2"/>
    <mergeCell ref="N613:Q613"/>
    <mergeCell ref="N637:Q637"/>
    <mergeCell ref="N658:Q658"/>
    <mergeCell ref="N663:Q663"/>
    <mergeCell ref="N698:Q698"/>
    <mergeCell ref="N448:Q448"/>
    <mergeCell ref="N454:Q454"/>
    <mergeCell ref="N455:Q455"/>
    <mergeCell ref="N486:Q486"/>
    <mergeCell ref="N490:Q490"/>
    <mergeCell ref="N581:Q581"/>
    <mergeCell ref="N679:Q679"/>
    <mergeCell ref="N626:Q626"/>
    <mergeCell ref="N588:Q588"/>
    <mergeCell ref="N140:Q140"/>
    <mergeCell ref="N159:Q159"/>
    <mergeCell ref="N166:Q166"/>
    <mergeCell ref="N199:Q199"/>
    <mergeCell ref="N214:Q214"/>
    <mergeCell ref="N345:Q345"/>
    <mergeCell ref="N318:Q318"/>
    <mergeCell ref="N323:Q323"/>
    <mergeCell ref="N308:Q308"/>
    <mergeCell ref="N313:Q313"/>
    <mergeCell ref="F742:I742"/>
    <mergeCell ref="F743:I743"/>
    <mergeCell ref="L743:M743"/>
    <mergeCell ref="N743:Q743"/>
    <mergeCell ref="F744:I744"/>
    <mergeCell ref="F746:I746"/>
    <mergeCell ref="L746:M746"/>
    <mergeCell ref="N746:Q746"/>
    <mergeCell ref="F739:I739"/>
    <mergeCell ref="F740:I740"/>
    <mergeCell ref="L740:M740"/>
    <mergeCell ref="N740:Q740"/>
    <mergeCell ref="F741:I741"/>
    <mergeCell ref="L741:M741"/>
    <mergeCell ref="N741:Q741"/>
    <mergeCell ref="F737:I737"/>
    <mergeCell ref="L737:M737"/>
    <mergeCell ref="N737:Q737"/>
    <mergeCell ref="F738:I738"/>
    <mergeCell ref="L738:M738"/>
    <mergeCell ref="N738:Q738"/>
    <mergeCell ref="F730:I730"/>
    <mergeCell ref="F733:I733"/>
    <mergeCell ref="L733:M733"/>
    <mergeCell ref="N733:Q733"/>
    <mergeCell ref="F734:I734"/>
    <mergeCell ref="L734:M734"/>
    <mergeCell ref="N734:Q734"/>
    <mergeCell ref="N731:Q731"/>
    <mergeCell ref="N732:Q732"/>
    <mergeCell ref="F724:I724"/>
    <mergeCell ref="F725:I725"/>
    <mergeCell ref="F726:I726"/>
    <mergeCell ref="F727:I727"/>
    <mergeCell ref="F728:I728"/>
    <mergeCell ref="F729:I729"/>
    <mergeCell ref="F718:I718"/>
    <mergeCell ref="F719:I719"/>
    <mergeCell ref="F720:I720"/>
    <mergeCell ref="F721:I721"/>
    <mergeCell ref="F722:I722"/>
    <mergeCell ref="F723:I723"/>
    <mergeCell ref="N711:Q711"/>
    <mergeCell ref="F712:I712"/>
    <mergeCell ref="F713:I713"/>
    <mergeCell ref="F714:I714"/>
    <mergeCell ref="F715:I715"/>
    <mergeCell ref="F717:I717"/>
    <mergeCell ref="L717:M717"/>
    <mergeCell ref="N717:Q717"/>
    <mergeCell ref="N716:Q716"/>
    <mergeCell ref="F707:I707"/>
    <mergeCell ref="F708:I708"/>
    <mergeCell ref="F709:I709"/>
    <mergeCell ref="F710:I710"/>
    <mergeCell ref="F711:I711"/>
    <mergeCell ref="L711:M711"/>
    <mergeCell ref="F703:I703"/>
    <mergeCell ref="F704:I704"/>
    <mergeCell ref="F705:I705"/>
    <mergeCell ref="L705:M705"/>
    <mergeCell ref="N705:Q705"/>
    <mergeCell ref="F706:I706"/>
    <mergeCell ref="L706:M706"/>
    <mergeCell ref="N706:Q706"/>
    <mergeCell ref="F699:I699"/>
    <mergeCell ref="L699:M699"/>
    <mergeCell ref="N699:Q699"/>
    <mergeCell ref="F700:I700"/>
    <mergeCell ref="F701:I701"/>
    <mergeCell ref="F702:I702"/>
    <mergeCell ref="F694:I694"/>
    <mergeCell ref="F695:I695"/>
    <mergeCell ref="F696:I696"/>
    <mergeCell ref="F697:I697"/>
    <mergeCell ref="L697:M697"/>
    <mergeCell ref="N697:Q697"/>
    <mergeCell ref="F690:I690"/>
    <mergeCell ref="L690:M690"/>
    <mergeCell ref="N690:Q690"/>
    <mergeCell ref="F691:I691"/>
    <mergeCell ref="F692:I692"/>
    <mergeCell ref="F693:I693"/>
    <mergeCell ref="F684:I684"/>
    <mergeCell ref="F685:I685"/>
    <mergeCell ref="F686:I686"/>
    <mergeCell ref="F687:I687"/>
    <mergeCell ref="F688:I688"/>
    <mergeCell ref="F689:I689"/>
    <mergeCell ref="F680:I680"/>
    <mergeCell ref="F681:I681"/>
    <mergeCell ref="L681:M681"/>
    <mergeCell ref="N681:Q681"/>
    <mergeCell ref="F683:I683"/>
    <mergeCell ref="L683:M683"/>
    <mergeCell ref="N683:Q683"/>
    <mergeCell ref="N682:Q682"/>
    <mergeCell ref="F675:I675"/>
    <mergeCell ref="F676:I676"/>
    <mergeCell ref="F677:I677"/>
    <mergeCell ref="F678:I678"/>
    <mergeCell ref="F679:I679"/>
    <mergeCell ref="L679:M679"/>
    <mergeCell ref="L671:M671"/>
    <mergeCell ref="N671:Q671"/>
    <mergeCell ref="F672:I672"/>
    <mergeCell ref="F673:I673"/>
    <mergeCell ref="F674:I674"/>
    <mergeCell ref="L674:M674"/>
    <mergeCell ref="N674:Q674"/>
    <mergeCell ref="F666:I666"/>
    <mergeCell ref="F667:I667"/>
    <mergeCell ref="F668:I668"/>
    <mergeCell ref="F669:I669"/>
    <mergeCell ref="F670:I670"/>
    <mergeCell ref="F671:I671"/>
    <mergeCell ref="F664:I664"/>
    <mergeCell ref="L664:M664"/>
    <mergeCell ref="N664:Q664"/>
    <mergeCell ref="F665:I665"/>
    <mergeCell ref="L665:M665"/>
    <mergeCell ref="N665:Q665"/>
    <mergeCell ref="F661:I661"/>
    <mergeCell ref="L661:M661"/>
    <mergeCell ref="N661:Q661"/>
    <mergeCell ref="F662:I662"/>
    <mergeCell ref="L662:M662"/>
    <mergeCell ref="N662:Q662"/>
    <mergeCell ref="F659:I659"/>
    <mergeCell ref="L659:M659"/>
    <mergeCell ref="N659:Q659"/>
    <mergeCell ref="F660:I660"/>
    <mergeCell ref="L660:M660"/>
    <mergeCell ref="N660:Q660"/>
    <mergeCell ref="F655:I655"/>
    <mergeCell ref="F656:I656"/>
    <mergeCell ref="L656:M656"/>
    <mergeCell ref="N656:Q656"/>
    <mergeCell ref="F657:I657"/>
    <mergeCell ref="L657:M657"/>
    <mergeCell ref="N657:Q657"/>
    <mergeCell ref="F651:I651"/>
    <mergeCell ref="L651:M651"/>
    <mergeCell ref="N651:Q651"/>
    <mergeCell ref="F652:I652"/>
    <mergeCell ref="F653:I653"/>
    <mergeCell ref="F654:I654"/>
    <mergeCell ref="F647:I647"/>
    <mergeCell ref="F648:I648"/>
    <mergeCell ref="F649:I649"/>
    <mergeCell ref="F650:I650"/>
    <mergeCell ref="L650:M650"/>
    <mergeCell ref="N650:Q650"/>
    <mergeCell ref="F643:I643"/>
    <mergeCell ref="L643:M643"/>
    <mergeCell ref="N643:Q643"/>
    <mergeCell ref="F644:I644"/>
    <mergeCell ref="F645:I645"/>
    <mergeCell ref="F646:I646"/>
    <mergeCell ref="F639:I639"/>
    <mergeCell ref="F640:I640"/>
    <mergeCell ref="F641:I641"/>
    <mergeCell ref="F642:I642"/>
    <mergeCell ref="L642:M642"/>
    <mergeCell ref="N642:Q642"/>
    <mergeCell ref="F636:I636"/>
    <mergeCell ref="L636:M636"/>
    <mergeCell ref="N636:Q636"/>
    <mergeCell ref="F638:I638"/>
    <mergeCell ref="L638:M638"/>
    <mergeCell ref="N638:Q638"/>
    <mergeCell ref="F632:I632"/>
    <mergeCell ref="F633:I633"/>
    <mergeCell ref="F634:I634"/>
    <mergeCell ref="L634:M634"/>
    <mergeCell ref="N634:Q634"/>
    <mergeCell ref="F635:I635"/>
    <mergeCell ref="F630:I630"/>
    <mergeCell ref="L630:M630"/>
    <mergeCell ref="N630:Q630"/>
    <mergeCell ref="F631:I631"/>
    <mergeCell ref="L631:M631"/>
    <mergeCell ref="N631:Q631"/>
    <mergeCell ref="F627:I627"/>
    <mergeCell ref="L627:M627"/>
    <mergeCell ref="N627:Q627"/>
    <mergeCell ref="F628:I628"/>
    <mergeCell ref="F629:I629"/>
    <mergeCell ref="F622:I622"/>
    <mergeCell ref="F623:I623"/>
    <mergeCell ref="F624:I624"/>
    <mergeCell ref="F625:I625"/>
    <mergeCell ref="F626:I626"/>
    <mergeCell ref="L626:M626"/>
    <mergeCell ref="F618:I618"/>
    <mergeCell ref="F619:I619"/>
    <mergeCell ref="L619:M619"/>
    <mergeCell ref="N619:Q619"/>
    <mergeCell ref="F620:I620"/>
    <mergeCell ref="F621:I621"/>
    <mergeCell ref="F614:I614"/>
    <mergeCell ref="L614:M614"/>
    <mergeCell ref="N614:Q614"/>
    <mergeCell ref="F615:I615"/>
    <mergeCell ref="F616:I616"/>
    <mergeCell ref="F617:I617"/>
    <mergeCell ref="F611:I611"/>
    <mergeCell ref="L611:M611"/>
    <mergeCell ref="N611:Q611"/>
    <mergeCell ref="F612:I612"/>
    <mergeCell ref="L612:M612"/>
    <mergeCell ref="N612:Q612"/>
    <mergeCell ref="F608:I608"/>
    <mergeCell ref="F609:I609"/>
    <mergeCell ref="L609:M609"/>
    <mergeCell ref="N609:Q609"/>
    <mergeCell ref="F610:I610"/>
    <mergeCell ref="L610:M610"/>
    <mergeCell ref="N610:Q610"/>
    <mergeCell ref="F602:I602"/>
    <mergeCell ref="F603:I603"/>
    <mergeCell ref="F604:I604"/>
    <mergeCell ref="F605:I605"/>
    <mergeCell ref="F606:I606"/>
    <mergeCell ref="F607:I607"/>
    <mergeCell ref="F598:I598"/>
    <mergeCell ref="F599:I599"/>
    <mergeCell ref="L599:M599"/>
    <mergeCell ref="N599:Q599"/>
    <mergeCell ref="F600:I600"/>
    <mergeCell ref="F601:I601"/>
    <mergeCell ref="F594:I594"/>
    <mergeCell ref="L594:M594"/>
    <mergeCell ref="N594:Q594"/>
    <mergeCell ref="F595:I595"/>
    <mergeCell ref="F596:I596"/>
    <mergeCell ref="F597:I597"/>
    <mergeCell ref="F589:I589"/>
    <mergeCell ref="F590:I590"/>
    <mergeCell ref="F591:I591"/>
    <mergeCell ref="F592:I592"/>
    <mergeCell ref="F593:I593"/>
    <mergeCell ref="F584:I584"/>
    <mergeCell ref="F585:I585"/>
    <mergeCell ref="F586:I586"/>
    <mergeCell ref="F587:I587"/>
    <mergeCell ref="F588:I588"/>
    <mergeCell ref="L588:M588"/>
    <mergeCell ref="L580:M580"/>
    <mergeCell ref="N580:Q580"/>
    <mergeCell ref="F582:I582"/>
    <mergeCell ref="L582:M582"/>
    <mergeCell ref="N582:Q582"/>
    <mergeCell ref="F583:I583"/>
    <mergeCell ref="F575:I575"/>
    <mergeCell ref="F576:I576"/>
    <mergeCell ref="F577:I577"/>
    <mergeCell ref="F578:I578"/>
    <mergeCell ref="F579:I579"/>
    <mergeCell ref="F580:I580"/>
    <mergeCell ref="F569:I569"/>
    <mergeCell ref="F570:I570"/>
    <mergeCell ref="F571:I571"/>
    <mergeCell ref="F572:I572"/>
    <mergeCell ref="F573:I573"/>
    <mergeCell ref="F574:I574"/>
    <mergeCell ref="L566:M566"/>
    <mergeCell ref="N566:Q566"/>
    <mergeCell ref="F567:I567"/>
    <mergeCell ref="F568:I568"/>
    <mergeCell ref="L568:M568"/>
    <mergeCell ref="N568:Q568"/>
    <mergeCell ref="F561:I561"/>
    <mergeCell ref="F562:I562"/>
    <mergeCell ref="F563:I563"/>
    <mergeCell ref="F564:I564"/>
    <mergeCell ref="F565:I565"/>
    <mergeCell ref="F566:I566"/>
    <mergeCell ref="F555:I555"/>
    <mergeCell ref="F556:I556"/>
    <mergeCell ref="F557:I557"/>
    <mergeCell ref="F558:I558"/>
    <mergeCell ref="F559:I559"/>
    <mergeCell ref="F560:I560"/>
    <mergeCell ref="F552:I552"/>
    <mergeCell ref="L552:M552"/>
    <mergeCell ref="N552:Q552"/>
    <mergeCell ref="F553:I553"/>
    <mergeCell ref="F554:I554"/>
    <mergeCell ref="L554:M554"/>
    <mergeCell ref="N554:Q554"/>
    <mergeCell ref="F546:I546"/>
    <mergeCell ref="F547:I547"/>
    <mergeCell ref="F548:I548"/>
    <mergeCell ref="F549:I549"/>
    <mergeCell ref="F550:I550"/>
    <mergeCell ref="F551:I551"/>
    <mergeCell ref="F542:I542"/>
    <mergeCell ref="F543:I543"/>
    <mergeCell ref="L543:M543"/>
    <mergeCell ref="N543:Q543"/>
    <mergeCell ref="F544:I544"/>
    <mergeCell ref="F545:I545"/>
    <mergeCell ref="L545:M545"/>
    <mergeCell ref="N545:Q545"/>
    <mergeCell ref="F538:I538"/>
    <mergeCell ref="L538:M538"/>
    <mergeCell ref="N538:Q538"/>
    <mergeCell ref="F539:I539"/>
    <mergeCell ref="F540:I540"/>
    <mergeCell ref="F541:I541"/>
    <mergeCell ref="F534:I534"/>
    <mergeCell ref="L534:M534"/>
    <mergeCell ref="N534:Q534"/>
    <mergeCell ref="F535:I535"/>
    <mergeCell ref="F536:I536"/>
    <mergeCell ref="F537:I537"/>
    <mergeCell ref="F530:I530"/>
    <mergeCell ref="L530:M530"/>
    <mergeCell ref="N530:Q530"/>
    <mergeCell ref="F531:I531"/>
    <mergeCell ref="F532:I532"/>
    <mergeCell ref="F533:I533"/>
    <mergeCell ref="F524:I524"/>
    <mergeCell ref="F525:I525"/>
    <mergeCell ref="F526:I526"/>
    <mergeCell ref="F527:I527"/>
    <mergeCell ref="F528:I528"/>
    <mergeCell ref="F529:I529"/>
    <mergeCell ref="F520:I520"/>
    <mergeCell ref="L520:M520"/>
    <mergeCell ref="N520:Q520"/>
    <mergeCell ref="F521:I521"/>
    <mergeCell ref="F522:I522"/>
    <mergeCell ref="F523:I523"/>
    <mergeCell ref="F514:I514"/>
    <mergeCell ref="F515:I515"/>
    <mergeCell ref="F516:I516"/>
    <mergeCell ref="F517:I517"/>
    <mergeCell ref="F518:I518"/>
    <mergeCell ref="F519:I519"/>
    <mergeCell ref="F510:I510"/>
    <mergeCell ref="F511:I511"/>
    <mergeCell ref="L511:M511"/>
    <mergeCell ref="N511:Q511"/>
    <mergeCell ref="F512:I512"/>
    <mergeCell ref="F513:I513"/>
    <mergeCell ref="F506:I506"/>
    <mergeCell ref="L506:M506"/>
    <mergeCell ref="N506:Q506"/>
    <mergeCell ref="F507:I507"/>
    <mergeCell ref="F508:I508"/>
    <mergeCell ref="F509:I509"/>
    <mergeCell ref="F502:I502"/>
    <mergeCell ref="L502:M502"/>
    <mergeCell ref="N502:Q502"/>
    <mergeCell ref="F503:I503"/>
    <mergeCell ref="F504:I504"/>
    <mergeCell ref="F505:I505"/>
    <mergeCell ref="L497:M497"/>
    <mergeCell ref="N497:Q497"/>
    <mergeCell ref="F498:I498"/>
    <mergeCell ref="F499:I499"/>
    <mergeCell ref="F500:I500"/>
    <mergeCell ref="F501:I501"/>
    <mergeCell ref="F492:I492"/>
    <mergeCell ref="F493:I493"/>
    <mergeCell ref="F494:I494"/>
    <mergeCell ref="F495:I495"/>
    <mergeCell ref="F496:I496"/>
    <mergeCell ref="F497:I497"/>
    <mergeCell ref="F489:I489"/>
    <mergeCell ref="L489:M489"/>
    <mergeCell ref="N489:Q489"/>
    <mergeCell ref="F491:I491"/>
    <mergeCell ref="L491:M491"/>
    <mergeCell ref="N491:Q491"/>
    <mergeCell ref="L485:M485"/>
    <mergeCell ref="N485:Q485"/>
    <mergeCell ref="F487:I487"/>
    <mergeCell ref="L487:M487"/>
    <mergeCell ref="N487:Q487"/>
    <mergeCell ref="F488:I488"/>
    <mergeCell ref="L488:M488"/>
    <mergeCell ref="N488:Q488"/>
    <mergeCell ref="F480:I480"/>
    <mergeCell ref="F481:I481"/>
    <mergeCell ref="F482:I482"/>
    <mergeCell ref="F483:I483"/>
    <mergeCell ref="F484:I484"/>
    <mergeCell ref="F485:I485"/>
    <mergeCell ref="F474:I474"/>
    <mergeCell ref="F475:I475"/>
    <mergeCell ref="F476:I476"/>
    <mergeCell ref="F477:I477"/>
    <mergeCell ref="F478:I478"/>
    <mergeCell ref="F479:I479"/>
    <mergeCell ref="F471:I471"/>
    <mergeCell ref="L471:M471"/>
    <mergeCell ref="N471:Q471"/>
    <mergeCell ref="F472:I472"/>
    <mergeCell ref="F473:I473"/>
    <mergeCell ref="L473:M473"/>
    <mergeCell ref="N473:Q473"/>
    <mergeCell ref="F467:I467"/>
    <mergeCell ref="L467:M467"/>
    <mergeCell ref="N467:Q467"/>
    <mergeCell ref="F468:I468"/>
    <mergeCell ref="F469:I469"/>
    <mergeCell ref="F470:I470"/>
    <mergeCell ref="F463:I463"/>
    <mergeCell ref="F464:I464"/>
    <mergeCell ref="F465:I465"/>
    <mergeCell ref="F466:I466"/>
    <mergeCell ref="L466:M466"/>
    <mergeCell ref="N466:Q466"/>
    <mergeCell ref="F457:I457"/>
    <mergeCell ref="F458:I458"/>
    <mergeCell ref="F459:I459"/>
    <mergeCell ref="F460:I460"/>
    <mergeCell ref="F461:I461"/>
    <mergeCell ref="F462:I462"/>
    <mergeCell ref="F453:I453"/>
    <mergeCell ref="L453:M453"/>
    <mergeCell ref="N453:Q453"/>
    <mergeCell ref="F456:I456"/>
    <mergeCell ref="L456:M456"/>
    <mergeCell ref="N456:Q456"/>
    <mergeCell ref="F451:I451"/>
    <mergeCell ref="L451:M451"/>
    <mergeCell ref="N451:Q451"/>
    <mergeCell ref="F452:I452"/>
    <mergeCell ref="L452:M452"/>
    <mergeCell ref="N452:Q452"/>
    <mergeCell ref="F449:I449"/>
    <mergeCell ref="L449:M449"/>
    <mergeCell ref="N449:Q449"/>
    <mergeCell ref="F450:I450"/>
    <mergeCell ref="L450:M450"/>
    <mergeCell ref="N450:Q450"/>
    <mergeCell ref="F444:I444"/>
    <mergeCell ref="L444:M444"/>
    <mergeCell ref="N444:Q444"/>
    <mergeCell ref="F445:I445"/>
    <mergeCell ref="F446:I446"/>
    <mergeCell ref="F447:I447"/>
    <mergeCell ref="F438:I438"/>
    <mergeCell ref="F439:I439"/>
    <mergeCell ref="F440:I440"/>
    <mergeCell ref="F441:I441"/>
    <mergeCell ref="F442:I442"/>
    <mergeCell ref="F443:I443"/>
    <mergeCell ref="F434:I434"/>
    <mergeCell ref="F435:I435"/>
    <mergeCell ref="F436:I436"/>
    <mergeCell ref="L436:M436"/>
    <mergeCell ref="N436:Q436"/>
    <mergeCell ref="F437:I437"/>
    <mergeCell ref="F428:I428"/>
    <mergeCell ref="F429:I429"/>
    <mergeCell ref="F430:I430"/>
    <mergeCell ref="F431:I431"/>
    <mergeCell ref="F432:I432"/>
    <mergeCell ref="F433:I433"/>
    <mergeCell ref="F424:I424"/>
    <mergeCell ref="L424:M424"/>
    <mergeCell ref="N424:Q424"/>
    <mergeCell ref="F425:I425"/>
    <mergeCell ref="F426:I426"/>
    <mergeCell ref="F427:I427"/>
    <mergeCell ref="F420:I420"/>
    <mergeCell ref="L420:M420"/>
    <mergeCell ref="N420:Q420"/>
    <mergeCell ref="F421:I421"/>
    <mergeCell ref="F422:I422"/>
    <mergeCell ref="F423:I423"/>
    <mergeCell ref="F414:I414"/>
    <mergeCell ref="F415:I415"/>
    <mergeCell ref="F416:I416"/>
    <mergeCell ref="F417:I417"/>
    <mergeCell ref="F418:I418"/>
    <mergeCell ref="F419:I419"/>
    <mergeCell ref="F410:I410"/>
    <mergeCell ref="L410:M410"/>
    <mergeCell ref="N410:Q410"/>
    <mergeCell ref="F411:I411"/>
    <mergeCell ref="F412:I412"/>
    <mergeCell ref="F413:I413"/>
    <mergeCell ref="F406:I406"/>
    <mergeCell ref="F407:I407"/>
    <mergeCell ref="L407:M407"/>
    <mergeCell ref="N407:Q407"/>
    <mergeCell ref="F408:I408"/>
    <mergeCell ref="F409:I409"/>
    <mergeCell ref="F402:I402"/>
    <mergeCell ref="F403:I403"/>
    <mergeCell ref="F404:I404"/>
    <mergeCell ref="L404:M404"/>
    <mergeCell ref="N404:Q404"/>
    <mergeCell ref="F405:I405"/>
    <mergeCell ref="F398:I398"/>
    <mergeCell ref="F399:I399"/>
    <mergeCell ref="F400:I400"/>
    <mergeCell ref="L400:M400"/>
    <mergeCell ref="N400:Q400"/>
    <mergeCell ref="F401:I401"/>
    <mergeCell ref="F392:I392"/>
    <mergeCell ref="F393:I393"/>
    <mergeCell ref="F394:I394"/>
    <mergeCell ref="F395:I395"/>
    <mergeCell ref="F396:I396"/>
    <mergeCell ref="F397:I397"/>
    <mergeCell ref="F388:I388"/>
    <mergeCell ref="F389:I389"/>
    <mergeCell ref="F390:I390"/>
    <mergeCell ref="L390:M390"/>
    <mergeCell ref="N390:Q390"/>
    <mergeCell ref="F391:I391"/>
    <mergeCell ref="L383:M383"/>
    <mergeCell ref="N383:Q383"/>
    <mergeCell ref="F384:I384"/>
    <mergeCell ref="F385:I385"/>
    <mergeCell ref="F386:I386"/>
    <mergeCell ref="F387:I387"/>
    <mergeCell ref="F378:I378"/>
    <mergeCell ref="F379:I379"/>
    <mergeCell ref="F380:I380"/>
    <mergeCell ref="F381:I381"/>
    <mergeCell ref="F382:I382"/>
    <mergeCell ref="F383:I383"/>
    <mergeCell ref="F374:I374"/>
    <mergeCell ref="F375:I375"/>
    <mergeCell ref="F376:I376"/>
    <mergeCell ref="L376:M376"/>
    <mergeCell ref="N376:Q376"/>
    <mergeCell ref="F377:I377"/>
    <mergeCell ref="F370:I370"/>
    <mergeCell ref="F371:I371"/>
    <mergeCell ref="F372:I372"/>
    <mergeCell ref="F373:I373"/>
    <mergeCell ref="L373:M373"/>
    <mergeCell ref="N373:Q373"/>
    <mergeCell ref="F366:I366"/>
    <mergeCell ref="F367:I367"/>
    <mergeCell ref="F368:I368"/>
    <mergeCell ref="L368:M368"/>
    <mergeCell ref="N368:Q368"/>
    <mergeCell ref="F369:I369"/>
    <mergeCell ref="L369:M369"/>
    <mergeCell ref="N369:Q369"/>
    <mergeCell ref="F362:I362"/>
    <mergeCell ref="F363:I363"/>
    <mergeCell ref="F364:I364"/>
    <mergeCell ref="F365:I365"/>
    <mergeCell ref="L365:M365"/>
    <mergeCell ref="N365:Q365"/>
    <mergeCell ref="F358:I358"/>
    <mergeCell ref="F359:I359"/>
    <mergeCell ref="L359:M359"/>
    <mergeCell ref="N359:Q359"/>
    <mergeCell ref="F360:I360"/>
    <mergeCell ref="F361:I361"/>
    <mergeCell ref="F354:I354"/>
    <mergeCell ref="F355:I355"/>
    <mergeCell ref="L355:M355"/>
    <mergeCell ref="N355:Q355"/>
    <mergeCell ref="F356:I356"/>
    <mergeCell ref="F357:I357"/>
    <mergeCell ref="F351:I351"/>
    <mergeCell ref="L351:M351"/>
    <mergeCell ref="N351:Q351"/>
    <mergeCell ref="F352:I352"/>
    <mergeCell ref="F353:I353"/>
    <mergeCell ref="L353:M353"/>
    <mergeCell ref="N353:Q353"/>
    <mergeCell ref="F347:I347"/>
    <mergeCell ref="F348:I348"/>
    <mergeCell ref="F349:I349"/>
    <mergeCell ref="L349:M349"/>
    <mergeCell ref="N349:Q349"/>
    <mergeCell ref="F350:I350"/>
    <mergeCell ref="F342:I342"/>
    <mergeCell ref="F343:I343"/>
    <mergeCell ref="F344:I344"/>
    <mergeCell ref="F346:I346"/>
    <mergeCell ref="L346:M346"/>
    <mergeCell ref="N346:Q346"/>
    <mergeCell ref="F340:I340"/>
    <mergeCell ref="L340:M340"/>
    <mergeCell ref="N340:Q340"/>
    <mergeCell ref="F341:I341"/>
    <mergeCell ref="L341:M341"/>
    <mergeCell ref="N341:Q341"/>
    <mergeCell ref="F336:I336"/>
    <mergeCell ref="L336:M336"/>
    <mergeCell ref="N336:Q336"/>
    <mergeCell ref="F337:I337"/>
    <mergeCell ref="F338:I338"/>
    <mergeCell ref="F339:I339"/>
    <mergeCell ref="F332:I332"/>
    <mergeCell ref="F333:I333"/>
    <mergeCell ref="L333:M333"/>
    <mergeCell ref="N333:Q333"/>
    <mergeCell ref="F334:I334"/>
    <mergeCell ref="F335:I335"/>
    <mergeCell ref="F328:I328"/>
    <mergeCell ref="F329:I329"/>
    <mergeCell ref="F330:I330"/>
    <mergeCell ref="L330:M330"/>
    <mergeCell ref="N330:Q330"/>
    <mergeCell ref="F331:I331"/>
    <mergeCell ref="F324:I324"/>
    <mergeCell ref="F325:I325"/>
    <mergeCell ref="F326:I326"/>
    <mergeCell ref="F327:I327"/>
    <mergeCell ref="L327:M327"/>
    <mergeCell ref="N327:Q327"/>
    <mergeCell ref="F319:I319"/>
    <mergeCell ref="F320:I320"/>
    <mergeCell ref="F321:I321"/>
    <mergeCell ref="F322:I322"/>
    <mergeCell ref="F323:I323"/>
    <mergeCell ref="L323:M323"/>
    <mergeCell ref="F314:I314"/>
    <mergeCell ref="F315:I315"/>
    <mergeCell ref="F316:I316"/>
    <mergeCell ref="F317:I317"/>
    <mergeCell ref="F318:I318"/>
    <mergeCell ref="L318:M318"/>
    <mergeCell ref="F309:I309"/>
    <mergeCell ref="F310:I310"/>
    <mergeCell ref="F311:I311"/>
    <mergeCell ref="F312:I312"/>
    <mergeCell ref="F313:I313"/>
    <mergeCell ref="L313:M313"/>
    <mergeCell ref="F304:I304"/>
    <mergeCell ref="F305:I305"/>
    <mergeCell ref="F306:I306"/>
    <mergeCell ref="F307:I307"/>
    <mergeCell ref="F308:I308"/>
    <mergeCell ref="L308:M308"/>
    <mergeCell ref="N298:Q298"/>
    <mergeCell ref="F299:I299"/>
    <mergeCell ref="F300:I300"/>
    <mergeCell ref="F301:I301"/>
    <mergeCell ref="F302:I302"/>
    <mergeCell ref="F303:I303"/>
    <mergeCell ref="L303:M303"/>
    <mergeCell ref="N303:Q303"/>
    <mergeCell ref="F294:I294"/>
    <mergeCell ref="F295:I295"/>
    <mergeCell ref="F296:I296"/>
    <mergeCell ref="F297:I297"/>
    <mergeCell ref="F298:I298"/>
    <mergeCell ref="L298:M298"/>
    <mergeCell ref="F290:I290"/>
    <mergeCell ref="F291:I291"/>
    <mergeCell ref="F292:I292"/>
    <mergeCell ref="F293:I293"/>
    <mergeCell ref="L293:M293"/>
    <mergeCell ref="N293:Q293"/>
    <mergeCell ref="F286:I286"/>
    <mergeCell ref="F287:I287"/>
    <mergeCell ref="F288:I288"/>
    <mergeCell ref="F289:I289"/>
    <mergeCell ref="L289:M289"/>
    <mergeCell ref="N289:Q289"/>
    <mergeCell ref="F282:I282"/>
    <mergeCell ref="F283:I283"/>
    <mergeCell ref="F284:I284"/>
    <mergeCell ref="L284:M284"/>
    <mergeCell ref="N284:Q284"/>
    <mergeCell ref="F285:I285"/>
    <mergeCell ref="L285:M285"/>
    <mergeCell ref="N285:Q285"/>
    <mergeCell ref="F278:I278"/>
    <mergeCell ref="F279:I279"/>
    <mergeCell ref="L279:M279"/>
    <mergeCell ref="N279:Q279"/>
    <mergeCell ref="F280:I280"/>
    <mergeCell ref="F281:I281"/>
    <mergeCell ref="F274:I274"/>
    <mergeCell ref="L274:M274"/>
    <mergeCell ref="N274:Q274"/>
    <mergeCell ref="F275:I275"/>
    <mergeCell ref="F276:I276"/>
    <mergeCell ref="F277:I277"/>
    <mergeCell ref="F270:I270"/>
    <mergeCell ref="F271:I271"/>
    <mergeCell ref="F272:I272"/>
    <mergeCell ref="F273:I273"/>
    <mergeCell ref="L273:M273"/>
    <mergeCell ref="N273:Q273"/>
    <mergeCell ref="F266:I266"/>
    <mergeCell ref="L266:M266"/>
    <mergeCell ref="N266:Q266"/>
    <mergeCell ref="F267:I267"/>
    <mergeCell ref="F268:I268"/>
    <mergeCell ref="F269:I269"/>
    <mergeCell ref="L269:M269"/>
    <mergeCell ref="N269:Q269"/>
    <mergeCell ref="F262:I262"/>
    <mergeCell ref="L262:M262"/>
    <mergeCell ref="N262:Q262"/>
    <mergeCell ref="F263:I263"/>
    <mergeCell ref="F264:I264"/>
    <mergeCell ref="F265:I265"/>
    <mergeCell ref="N256:Q256"/>
    <mergeCell ref="F257:I257"/>
    <mergeCell ref="F258:I258"/>
    <mergeCell ref="F259:I259"/>
    <mergeCell ref="F260:I260"/>
    <mergeCell ref="F261:I261"/>
    <mergeCell ref="F252:I252"/>
    <mergeCell ref="F253:I253"/>
    <mergeCell ref="F254:I254"/>
    <mergeCell ref="F255:I255"/>
    <mergeCell ref="F256:I256"/>
    <mergeCell ref="L256:M256"/>
    <mergeCell ref="F248:I248"/>
    <mergeCell ref="F249:I249"/>
    <mergeCell ref="L249:M249"/>
    <mergeCell ref="N249:Q249"/>
    <mergeCell ref="F250:I250"/>
    <mergeCell ref="F251:I251"/>
    <mergeCell ref="L243:M243"/>
    <mergeCell ref="N243:Q243"/>
    <mergeCell ref="F244:I244"/>
    <mergeCell ref="F245:I245"/>
    <mergeCell ref="F246:I246"/>
    <mergeCell ref="F247:I247"/>
    <mergeCell ref="L247:M247"/>
    <mergeCell ref="N247:Q247"/>
    <mergeCell ref="F238:I238"/>
    <mergeCell ref="F239:I239"/>
    <mergeCell ref="F240:I240"/>
    <mergeCell ref="F241:I241"/>
    <mergeCell ref="F242:I242"/>
    <mergeCell ref="F243:I243"/>
    <mergeCell ref="N232:Q232"/>
    <mergeCell ref="F233:I233"/>
    <mergeCell ref="F234:I234"/>
    <mergeCell ref="F235:I235"/>
    <mergeCell ref="F236:I236"/>
    <mergeCell ref="F237:I237"/>
    <mergeCell ref="F228:I228"/>
    <mergeCell ref="F229:I229"/>
    <mergeCell ref="F230:I230"/>
    <mergeCell ref="F231:I231"/>
    <mergeCell ref="F232:I232"/>
    <mergeCell ref="L232:M232"/>
    <mergeCell ref="F222:I222"/>
    <mergeCell ref="F223:I223"/>
    <mergeCell ref="F224:I224"/>
    <mergeCell ref="F225:I225"/>
    <mergeCell ref="F226:I226"/>
    <mergeCell ref="F227:I227"/>
    <mergeCell ref="F218:I218"/>
    <mergeCell ref="F219:I219"/>
    <mergeCell ref="F220:I220"/>
    <mergeCell ref="F221:I221"/>
    <mergeCell ref="L221:M221"/>
    <mergeCell ref="N221:Q221"/>
    <mergeCell ref="F213:I213"/>
    <mergeCell ref="F215:I215"/>
    <mergeCell ref="L215:M215"/>
    <mergeCell ref="N215:Q215"/>
    <mergeCell ref="F216:I216"/>
    <mergeCell ref="F217:I217"/>
    <mergeCell ref="L217:M217"/>
    <mergeCell ref="N217:Q217"/>
    <mergeCell ref="F210:I210"/>
    <mergeCell ref="F211:I211"/>
    <mergeCell ref="L211:M211"/>
    <mergeCell ref="N211:Q211"/>
    <mergeCell ref="F212:I212"/>
    <mergeCell ref="L212:M212"/>
    <mergeCell ref="N212:Q212"/>
    <mergeCell ref="F206:I206"/>
    <mergeCell ref="F207:I207"/>
    <mergeCell ref="F208:I208"/>
    <mergeCell ref="F209:I209"/>
    <mergeCell ref="L209:M209"/>
    <mergeCell ref="N209:Q209"/>
    <mergeCell ref="F202:I202"/>
    <mergeCell ref="F203:I203"/>
    <mergeCell ref="F204:I204"/>
    <mergeCell ref="L204:M204"/>
    <mergeCell ref="N204:Q204"/>
    <mergeCell ref="F205:I205"/>
    <mergeCell ref="L205:M205"/>
    <mergeCell ref="N205:Q205"/>
    <mergeCell ref="F197:I197"/>
    <mergeCell ref="F198:I198"/>
    <mergeCell ref="F200:I200"/>
    <mergeCell ref="L200:M200"/>
    <mergeCell ref="N200:Q200"/>
    <mergeCell ref="F201:I201"/>
    <mergeCell ref="F193:I193"/>
    <mergeCell ref="F194:I194"/>
    <mergeCell ref="F195:I195"/>
    <mergeCell ref="L195:M195"/>
    <mergeCell ref="N195:Q195"/>
    <mergeCell ref="F196:I196"/>
    <mergeCell ref="F189:I189"/>
    <mergeCell ref="F190:I190"/>
    <mergeCell ref="L190:M190"/>
    <mergeCell ref="N190:Q190"/>
    <mergeCell ref="F191:I191"/>
    <mergeCell ref="F192:I192"/>
    <mergeCell ref="F185:I185"/>
    <mergeCell ref="F186:I186"/>
    <mergeCell ref="L186:M186"/>
    <mergeCell ref="N186:Q186"/>
    <mergeCell ref="F187:I187"/>
    <mergeCell ref="F188:I188"/>
    <mergeCell ref="F181:I181"/>
    <mergeCell ref="F182:I182"/>
    <mergeCell ref="F183:I183"/>
    <mergeCell ref="F184:I184"/>
    <mergeCell ref="L184:M184"/>
    <mergeCell ref="N184:Q184"/>
    <mergeCell ref="N176:Q176"/>
    <mergeCell ref="F177:I177"/>
    <mergeCell ref="F178:I178"/>
    <mergeCell ref="F179:I179"/>
    <mergeCell ref="F180:I180"/>
    <mergeCell ref="L180:M180"/>
    <mergeCell ref="N180:Q180"/>
    <mergeCell ref="F172:I172"/>
    <mergeCell ref="F173:I173"/>
    <mergeCell ref="F174:I174"/>
    <mergeCell ref="F175:I175"/>
    <mergeCell ref="F176:I176"/>
    <mergeCell ref="L176:M176"/>
    <mergeCell ref="F168:I168"/>
    <mergeCell ref="L168:M168"/>
    <mergeCell ref="N168:Q168"/>
    <mergeCell ref="F169:I169"/>
    <mergeCell ref="F170:I170"/>
    <mergeCell ref="F171:I171"/>
    <mergeCell ref="L171:M171"/>
    <mergeCell ref="N171:Q171"/>
    <mergeCell ref="F165:I165"/>
    <mergeCell ref="L165:M165"/>
    <mergeCell ref="N165:Q165"/>
    <mergeCell ref="F167:I167"/>
    <mergeCell ref="L167:M167"/>
    <mergeCell ref="N167:Q167"/>
    <mergeCell ref="F161:I161"/>
    <mergeCell ref="F162:I162"/>
    <mergeCell ref="F163:I163"/>
    <mergeCell ref="L163:M163"/>
    <mergeCell ref="N163:Q163"/>
    <mergeCell ref="F164:I164"/>
    <mergeCell ref="F156:I156"/>
    <mergeCell ref="F157:I157"/>
    <mergeCell ref="L157:M157"/>
    <mergeCell ref="N157:Q157"/>
    <mergeCell ref="F158:I158"/>
    <mergeCell ref="F160:I160"/>
    <mergeCell ref="L160:M160"/>
    <mergeCell ref="N160:Q160"/>
    <mergeCell ref="F153:I153"/>
    <mergeCell ref="L153:M153"/>
    <mergeCell ref="N153:Q153"/>
    <mergeCell ref="F154:I154"/>
    <mergeCell ref="F155:I155"/>
    <mergeCell ref="L155:M155"/>
    <mergeCell ref="N155:Q155"/>
    <mergeCell ref="F151:I151"/>
    <mergeCell ref="L151:M151"/>
    <mergeCell ref="N151:Q151"/>
    <mergeCell ref="F152:I152"/>
    <mergeCell ref="L152:M152"/>
    <mergeCell ref="N152:Q152"/>
    <mergeCell ref="N146:Q146"/>
    <mergeCell ref="F147:I147"/>
    <mergeCell ref="F148:I148"/>
    <mergeCell ref="F149:I149"/>
    <mergeCell ref="F150:I150"/>
    <mergeCell ref="L150:M150"/>
    <mergeCell ref="N150:Q150"/>
    <mergeCell ref="F142:I142"/>
    <mergeCell ref="F143:I143"/>
    <mergeCell ref="F144:I144"/>
    <mergeCell ref="F145:I145"/>
    <mergeCell ref="F146:I146"/>
    <mergeCell ref="L146:M146"/>
    <mergeCell ref="M134:Q134"/>
    <mergeCell ref="M135:Q135"/>
    <mergeCell ref="F137:I137"/>
    <mergeCell ref="L137:M137"/>
    <mergeCell ref="N137:Q137"/>
    <mergeCell ref="F141:I141"/>
    <mergeCell ref="L141:M141"/>
    <mergeCell ref="N141:Q141"/>
    <mergeCell ref="N138:Q138"/>
    <mergeCell ref="N139:Q139"/>
    <mergeCell ref="N120:Q120"/>
    <mergeCell ref="L121:Q121"/>
    <mergeCell ref="C127:Q127"/>
    <mergeCell ref="F129:P129"/>
    <mergeCell ref="M132:P132"/>
    <mergeCell ref="D117:H117"/>
    <mergeCell ref="N117:Q117"/>
    <mergeCell ref="D118:H118"/>
    <mergeCell ref="N118:Q118"/>
    <mergeCell ref="D119:H119"/>
    <mergeCell ref="N119:Q119"/>
    <mergeCell ref="N113:Q113"/>
    <mergeCell ref="N114:Q114"/>
    <mergeCell ref="D115:H115"/>
    <mergeCell ref="N115:Q115"/>
    <mergeCell ref="D116:H116"/>
    <mergeCell ref="N116:Q116"/>
    <mergeCell ref="N107:Q107"/>
    <mergeCell ref="N108:Q108"/>
    <mergeCell ref="N109:Q109"/>
    <mergeCell ref="N110:Q110"/>
    <mergeCell ref="N111:Q111"/>
    <mergeCell ref="N112:Q112"/>
    <mergeCell ref="N101:Q101"/>
    <mergeCell ref="N102:Q102"/>
    <mergeCell ref="N103:Q103"/>
    <mergeCell ref="N104:Q104"/>
    <mergeCell ref="N105:Q105"/>
    <mergeCell ref="N106:Q106"/>
    <mergeCell ref="N95:Q95"/>
    <mergeCell ref="N96:Q96"/>
    <mergeCell ref="N97:Q97"/>
    <mergeCell ref="N98:Q98"/>
    <mergeCell ref="N99:Q99"/>
    <mergeCell ref="N100:Q100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3:J33"/>
    <mergeCell ref="M33:P33"/>
    <mergeCell ref="L35:P35"/>
    <mergeCell ref="C76:Q76"/>
    <mergeCell ref="F78:P78"/>
    <mergeCell ref="H30:J30"/>
    <mergeCell ref="M30:P30"/>
    <mergeCell ref="H31:J31"/>
    <mergeCell ref="M31:P31"/>
    <mergeCell ref="H32:J32"/>
    <mergeCell ref="O15:P15"/>
    <mergeCell ref="O17:P17"/>
    <mergeCell ref="O18:P18"/>
    <mergeCell ref="M32:P32"/>
    <mergeCell ref="O20:P20"/>
    <mergeCell ref="O21:P21"/>
    <mergeCell ref="M24:P24"/>
    <mergeCell ref="M25:P25"/>
    <mergeCell ref="M27:P27"/>
    <mergeCell ref="C2:Q2"/>
    <mergeCell ref="C4:Q4"/>
    <mergeCell ref="F6:P6"/>
    <mergeCell ref="O9:P9"/>
    <mergeCell ref="O11:P11"/>
    <mergeCell ref="H29:J29"/>
    <mergeCell ref="M29:P29"/>
    <mergeCell ref="O12:P12"/>
    <mergeCell ref="O14:P14"/>
    <mergeCell ref="E15:L15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39" tooltip="Rozpočet" display="3) Rozpočet"/>
    <hyperlink ref="S1:T1" location="'Rekapitulace stavby'!C2" tooltip="Rekapitulace stavby" display="Rekapitulace stavby"/>
  </hyperlinks>
  <printOptions horizontalCentered="1"/>
  <pageMargins left="0.5905511811023623" right="0.5905511811023623" top="0.5905511811023623" bottom="0.5905511811023623" header="0" footer="0"/>
  <pageSetup blackAndWhite="1" fitToHeight="100" fitToWidth="1" horizontalDpi="300" verticalDpi="300" orientation="portrait" paperSize="9" scale="98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1" sqref="A1:IV16384"/>
    </sheetView>
  </sheetViews>
  <sheetFormatPr defaultColWidth="9.33203125" defaultRowHeight="13.5"/>
  <cols>
    <col min="1" max="1" width="11.66015625" style="325" customWidth="1"/>
    <col min="2" max="2" width="71.33203125" style="326" customWidth="1"/>
    <col min="3" max="3" width="10.5" style="326" customWidth="1"/>
    <col min="4" max="4" width="12.83203125" style="327" customWidth="1"/>
    <col min="5" max="5" width="15.33203125" style="328" customWidth="1"/>
    <col min="6" max="6" width="27.5" style="326" customWidth="1"/>
    <col min="7" max="16384" width="9.33203125" style="231" customWidth="1"/>
  </cols>
  <sheetData>
    <row r="1" spans="1:6" ht="41.25" customHeight="1">
      <c r="A1" s="225"/>
      <c r="B1" s="226" t="s">
        <v>811</v>
      </c>
      <c r="C1" s="227" t="s">
        <v>812</v>
      </c>
      <c r="D1" s="228"/>
      <c r="E1" s="229"/>
      <c r="F1" s="230"/>
    </row>
    <row r="2" spans="1:6" ht="30" customHeight="1">
      <c r="A2" s="232"/>
      <c r="B2" s="233" t="s">
        <v>813</v>
      </c>
      <c r="C2" s="233"/>
      <c r="D2" s="233"/>
      <c r="E2" s="233"/>
      <c r="F2" s="234"/>
    </row>
    <row r="3" spans="1:6" ht="30.75" customHeight="1" thickBot="1">
      <c r="A3" s="232"/>
      <c r="B3" s="235" t="s">
        <v>814</v>
      </c>
      <c r="C3" s="236" t="s">
        <v>815</v>
      </c>
      <c r="D3" s="237"/>
      <c r="E3" s="237"/>
      <c r="F3" s="238">
        <v>40721</v>
      </c>
    </row>
    <row r="4" spans="1:6" ht="48.75" thickBot="1">
      <c r="A4" s="239" t="s">
        <v>816</v>
      </c>
      <c r="B4" s="240" t="s">
        <v>817</v>
      </c>
      <c r="C4" s="241" t="s">
        <v>818</v>
      </c>
      <c r="D4" s="242" t="s">
        <v>819</v>
      </c>
      <c r="E4" s="243" t="s">
        <v>820</v>
      </c>
      <c r="F4" s="244" t="s">
        <v>821</v>
      </c>
    </row>
    <row r="5" spans="1:6" ht="23.25">
      <c r="A5" s="245"/>
      <c r="B5" s="246" t="s">
        <v>822</v>
      </c>
      <c r="C5" s="245"/>
      <c r="D5" s="247"/>
      <c r="E5" s="248"/>
      <c r="F5" s="249"/>
    </row>
    <row r="6" spans="1:6" ht="19.5" customHeight="1">
      <c r="A6" s="250">
        <v>443</v>
      </c>
      <c r="B6" s="251" t="str">
        <f>B11</f>
        <v>Spínací zařízení</v>
      </c>
      <c r="C6" s="250"/>
      <c r="D6" s="252"/>
      <c r="E6" s="253"/>
      <c r="F6" s="254">
        <f>F16</f>
        <v>0</v>
      </c>
    </row>
    <row r="7" spans="1:6" ht="18" customHeight="1">
      <c r="A7" s="250">
        <v>444</v>
      </c>
      <c r="B7" s="251" t="str">
        <f>B18</f>
        <v>Rozvody elektrické energie</v>
      </c>
      <c r="C7" s="250"/>
      <c r="D7" s="252"/>
      <c r="E7" s="253"/>
      <c r="F7" s="254">
        <f>F30</f>
        <v>0</v>
      </c>
    </row>
    <row r="8" spans="1:6" ht="18" customHeight="1" thickBot="1">
      <c r="A8" s="250">
        <v>444</v>
      </c>
      <c r="B8" s="251" t="str">
        <f>B32</f>
        <v>Montáž rozvodů elektrické energie</v>
      </c>
      <c r="C8" s="250"/>
      <c r="D8" s="252"/>
      <c r="E8" s="253"/>
      <c r="F8" s="254">
        <f>F45</f>
        <v>0</v>
      </c>
    </row>
    <row r="9" spans="1:6" ht="23.25" customHeight="1" thickBot="1">
      <c r="A9" s="255"/>
      <c r="B9" s="256" t="s">
        <v>823</v>
      </c>
      <c r="C9" s="255"/>
      <c r="D9" s="257"/>
      <c r="E9" s="258"/>
      <c r="F9" s="259">
        <f>SUM(F6:F8)</f>
        <v>0</v>
      </c>
    </row>
    <row r="10" spans="1:6" ht="14.25" thickBot="1">
      <c r="A10" s="260"/>
      <c r="B10" s="261"/>
      <c r="C10" s="260"/>
      <c r="D10" s="262"/>
      <c r="E10" s="263"/>
      <c r="F10" s="264"/>
    </row>
    <row r="11" spans="1:6" ht="17.25" thickBot="1">
      <c r="A11" s="265"/>
      <c r="B11" s="266" t="s">
        <v>824</v>
      </c>
      <c r="C11" s="267"/>
      <c r="D11" s="268"/>
      <c r="E11" s="269"/>
      <c r="F11" s="270"/>
    </row>
    <row r="12" spans="1:6" ht="17.25" thickBot="1">
      <c r="A12" s="271"/>
      <c r="B12" s="272" t="s">
        <v>825</v>
      </c>
      <c r="C12" s="273"/>
      <c r="D12" s="274"/>
      <c r="E12" s="274"/>
      <c r="F12" s="274"/>
    </row>
    <row r="13" spans="1:6" ht="17.25" thickBot="1">
      <c r="A13" s="271">
        <v>1</v>
      </c>
      <c r="B13" s="275" t="s">
        <v>826</v>
      </c>
      <c r="C13" s="276" t="s">
        <v>827</v>
      </c>
      <c r="D13" s="277">
        <v>1</v>
      </c>
      <c r="E13" s="278"/>
      <c r="F13" s="278">
        <f>D13*E13</f>
        <v>0</v>
      </c>
    </row>
    <row r="14" spans="1:6" ht="17.25" thickBot="1">
      <c r="A14" s="271">
        <v>2</v>
      </c>
      <c r="B14" s="279" t="s">
        <v>828</v>
      </c>
      <c r="C14" s="276" t="s">
        <v>827</v>
      </c>
      <c r="D14" s="277">
        <v>1</v>
      </c>
      <c r="E14" s="278"/>
      <c r="F14" s="278">
        <f>D14*E14</f>
        <v>0</v>
      </c>
    </row>
    <row r="15" spans="1:6" ht="17.25" thickBot="1">
      <c r="A15" s="271">
        <v>3</v>
      </c>
      <c r="B15" s="279" t="s">
        <v>829</v>
      </c>
      <c r="C15" s="276" t="s">
        <v>827</v>
      </c>
      <c r="D15" s="277">
        <v>1</v>
      </c>
      <c r="E15" s="278"/>
      <c r="F15" s="278">
        <f>D15*E15</f>
        <v>0</v>
      </c>
    </row>
    <row r="16" spans="1:6" ht="19.5" thickBot="1">
      <c r="A16" s="280"/>
      <c r="B16" s="281" t="s">
        <v>830</v>
      </c>
      <c r="C16" s="282"/>
      <c r="D16" s="283"/>
      <c r="E16" s="284"/>
      <c r="F16" s="285">
        <f>SUM(F12:F15)</f>
        <v>0</v>
      </c>
    </row>
    <row r="17" spans="1:6" ht="19.5" thickBot="1">
      <c r="A17" s="286"/>
      <c r="B17" s="287"/>
      <c r="C17" s="288"/>
      <c r="D17" s="289"/>
      <c r="E17" s="290"/>
      <c r="F17" s="291"/>
    </row>
    <row r="18" spans="1:6" ht="17.25" thickBot="1">
      <c r="A18" s="292"/>
      <c r="B18" s="266" t="s">
        <v>831</v>
      </c>
      <c r="C18" s="267"/>
      <c r="D18" s="268"/>
      <c r="E18" s="269"/>
      <c r="F18" s="293"/>
    </row>
    <row r="19" spans="1:6" ht="17.25" thickBot="1">
      <c r="A19" s="292">
        <v>1</v>
      </c>
      <c r="B19" s="294" t="s">
        <v>832</v>
      </c>
      <c r="C19" s="295" t="s">
        <v>245</v>
      </c>
      <c r="D19" s="296">
        <v>22</v>
      </c>
      <c r="E19" s="297"/>
      <c r="F19" s="298">
        <f>D19*E19</f>
        <v>0</v>
      </c>
    </row>
    <row r="20" spans="1:6" ht="17.25" thickBot="1">
      <c r="A20" s="292">
        <v>2</v>
      </c>
      <c r="B20" s="294" t="s">
        <v>833</v>
      </c>
      <c r="C20" s="295" t="s">
        <v>827</v>
      </c>
      <c r="D20" s="296">
        <v>26</v>
      </c>
      <c r="E20" s="297"/>
      <c r="F20" s="298">
        <f>D20*E20</f>
        <v>0</v>
      </c>
    </row>
    <row r="21" spans="1:6" ht="17.25" thickBot="1">
      <c r="A21" s="292">
        <v>3</v>
      </c>
      <c r="B21" s="294" t="s">
        <v>834</v>
      </c>
      <c r="C21" s="295" t="s">
        <v>827</v>
      </c>
      <c r="D21" s="296">
        <v>20</v>
      </c>
      <c r="E21" s="297"/>
      <c r="F21" s="298">
        <f>D21*E21</f>
        <v>0</v>
      </c>
    </row>
    <row r="22" spans="1:6" ht="17.25" thickBot="1">
      <c r="A22" s="292">
        <v>4</v>
      </c>
      <c r="B22" s="294" t="s">
        <v>835</v>
      </c>
      <c r="C22" s="295" t="s">
        <v>827</v>
      </c>
      <c r="D22" s="296">
        <v>2</v>
      </c>
      <c r="E22" s="297"/>
      <c r="F22" s="298">
        <f>D22*E22</f>
        <v>0</v>
      </c>
    </row>
    <row r="23" spans="1:6" ht="17.25" thickBot="1">
      <c r="A23" s="292">
        <v>5</v>
      </c>
      <c r="B23" s="294" t="s">
        <v>836</v>
      </c>
      <c r="C23" s="295" t="s">
        <v>827</v>
      </c>
      <c r="D23" s="296">
        <v>2</v>
      </c>
      <c r="E23" s="297"/>
      <c r="F23" s="298">
        <f>D23*E23</f>
        <v>0</v>
      </c>
    </row>
    <row r="24" spans="1:6" ht="17.25" thickBot="1">
      <c r="A24" s="292">
        <v>6</v>
      </c>
      <c r="B24" s="294" t="s">
        <v>837</v>
      </c>
      <c r="C24" s="295" t="s">
        <v>827</v>
      </c>
      <c r="D24" s="296">
        <v>30</v>
      </c>
      <c r="E24" s="297"/>
      <c r="F24" s="298">
        <f>D24*E24</f>
        <v>0</v>
      </c>
    </row>
    <row r="25" spans="1:6" ht="17.25" thickBot="1">
      <c r="A25" s="292">
        <v>7</v>
      </c>
      <c r="B25" s="294" t="s">
        <v>838</v>
      </c>
      <c r="C25" s="295" t="s">
        <v>245</v>
      </c>
      <c r="D25" s="296">
        <v>10</v>
      </c>
      <c r="E25" s="297"/>
      <c r="F25" s="298">
        <f>D25*E25</f>
        <v>0</v>
      </c>
    </row>
    <row r="26" spans="1:6" ht="17.25" thickBot="1">
      <c r="A26" s="292">
        <v>8</v>
      </c>
      <c r="B26" s="294" t="s">
        <v>839</v>
      </c>
      <c r="C26" s="295" t="s">
        <v>245</v>
      </c>
      <c r="D26" s="296">
        <v>32</v>
      </c>
      <c r="E26" s="297"/>
      <c r="F26" s="298">
        <f>D26*E26</f>
        <v>0</v>
      </c>
    </row>
    <row r="27" spans="1:6" ht="17.25" thickBot="1">
      <c r="A27" s="292">
        <v>9</v>
      </c>
      <c r="B27" s="294" t="s">
        <v>840</v>
      </c>
      <c r="C27" s="295" t="s">
        <v>841</v>
      </c>
      <c r="D27" s="296">
        <v>0.1</v>
      </c>
      <c r="E27" s="297"/>
      <c r="F27" s="298">
        <f>D27*E27</f>
        <v>0</v>
      </c>
    </row>
    <row r="28" spans="1:6" s="301" customFormat="1" ht="16.5" thickBot="1">
      <c r="A28" s="299"/>
      <c r="B28" s="294" t="s">
        <v>842</v>
      </c>
      <c r="C28" s="295"/>
      <c r="D28" s="296"/>
      <c r="E28" s="297"/>
      <c r="F28" s="300">
        <f>SUM(F18:F27)</f>
        <v>0</v>
      </c>
    </row>
    <row r="29" spans="1:6" s="301" customFormat="1" ht="15.75" thickBot="1">
      <c r="A29" s="299">
        <v>10</v>
      </c>
      <c r="B29" s="294" t="s">
        <v>843</v>
      </c>
      <c r="C29" s="295"/>
      <c r="D29" s="296"/>
      <c r="E29" s="297"/>
      <c r="F29" s="298">
        <f>F28*0.03</f>
        <v>0</v>
      </c>
    </row>
    <row r="30" spans="1:6" s="308" customFormat="1" ht="19.5" thickBot="1">
      <c r="A30" s="302"/>
      <c r="B30" s="303" t="s">
        <v>842</v>
      </c>
      <c r="C30" s="304"/>
      <c r="D30" s="305"/>
      <c r="E30" s="306"/>
      <c r="F30" s="307">
        <f>SUM(F28:F29)</f>
        <v>0</v>
      </c>
    </row>
    <row r="31" spans="1:6" s="308" customFormat="1" ht="15.75" customHeight="1" thickBot="1">
      <c r="A31" s="309"/>
      <c r="B31" s="310"/>
      <c r="C31" s="311"/>
      <c r="D31" s="312"/>
      <c r="E31" s="313"/>
      <c r="F31" s="314"/>
    </row>
    <row r="32" spans="1:6" s="308" customFormat="1" ht="15.75" customHeight="1" thickBot="1">
      <c r="A32" s="292"/>
      <c r="B32" s="266" t="s">
        <v>844</v>
      </c>
      <c r="C32" s="267"/>
      <c r="D32" s="268"/>
      <c r="E32" s="269"/>
      <c r="F32" s="270"/>
    </row>
    <row r="33" spans="1:6" s="308" customFormat="1" ht="15.75" customHeight="1" thickBot="1">
      <c r="A33" s="299">
        <v>1</v>
      </c>
      <c r="B33" s="294" t="s">
        <v>845</v>
      </c>
      <c r="C33" s="295" t="s">
        <v>245</v>
      </c>
      <c r="D33" s="296">
        <v>22</v>
      </c>
      <c r="E33" s="315"/>
      <c r="F33" s="298">
        <f>D33*E33</f>
        <v>0</v>
      </c>
    </row>
    <row r="34" spans="1:6" s="308" customFormat="1" ht="15.75" customHeight="1" thickBot="1">
      <c r="A34" s="299">
        <v>2</v>
      </c>
      <c r="B34" s="294" t="s">
        <v>846</v>
      </c>
      <c r="C34" s="295" t="s">
        <v>827</v>
      </c>
      <c r="D34" s="296">
        <v>1</v>
      </c>
      <c r="E34" s="315"/>
      <c r="F34" s="298">
        <f>D34*E34</f>
        <v>0</v>
      </c>
    </row>
    <row r="35" spans="1:6" s="308" customFormat="1" ht="15.75" customHeight="1" thickBot="1">
      <c r="A35" s="299">
        <v>3</v>
      </c>
      <c r="B35" s="294" t="s">
        <v>847</v>
      </c>
      <c r="C35" s="295" t="s">
        <v>827</v>
      </c>
      <c r="D35" s="296">
        <v>2</v>
      </c>
      <c r="E35" s="315"/>
      <c r="F35" s="298">
        <f>D35*E35</f>
        <v>0</v>
      </c>
    </row>
    <row r="36" spans="1:6" s="308" customFormat="1" ht="15.75" customHeight="1" thickBot="1">
      <c r="A36" s="299">
        <v>4</v>
      </c>
      <c r="B36" s="294" t="s">
        <v>848</v>
      </c>
      <c r="C36" s="295" t="s">
        <v>245</v>
      </c>
      <c r="D36" s="296">
        <v>32</v>
      </c>
      <c r="E36" s="315"/>
      <c r="F36" s="298">
        <f>D36*E36</f>
        <v>0</v>
      </c>
    </row>
    <row r="37" spans="1:6" s="308" customFormat="1" ht="15.75" customHeight="1" thickBot="1">
      <c r="A37" s="299">
        <v>5</v>
      </c>
      <c r="B37" s="294" t="s">
        <v>849</v>
      </c>
      <c r="C37" s="295" t="s">
        <v>245</v>
      </c>
      <c r="D37" s="296">
        <v>10</v>
      </c>
      <c r="E37" s="315"/>
      <c r="F37" s="298">
        <f aca="true" t="shared" si="0" ref="F37:F42">D37*E37</f>
        <v>0</v>
      </c>
    </row>
    <row r="38" spans="1:6" s="308" customFormat="1" ht="15.75" customHeight="1" thickBot="1">
      <c r="A38" s="299">
        <v>6</v>
      </c>
      <c r="B38" s="294" t="s">
        <v>850</v>
      </c>
      <c r="C38" s="295" t="s">
        <v>245</v>
      </c>
      <c r="D38" s="296">
        <v>32</v>
      </c>
      <c r="E38" s="315"/>
      <c r="F38" s="298">
        <f t="shared" si="0"/>
        <v>0</v>
      </c>
    </row>
    <row r="39" spans="1:6" s="308" customFormat="1" ht="15.75" customHeight="1" thickBot="1">
      <c r="A39" s="299">
        <v>7</v>
      </c>
      <c r="B39" s="294" t="s">
        <v>851</v>
      </c>
      <c r="C39" s="295" t="s">
        <v>827</v>
      </c>
      <c r="D39" s="296">
        <v>2</v>
      </c>
      <c r="E39" s="315"/>
      <c r="F39" s="298">
        <f t="shared" si="0"/>
        <v>0</v>
      </c>
    </row>
    <row r="40" spans="1:6" s="308" customFormat="1" ht="15.75" customHeight="1" thickBot="1">
      <c r="A40" s="299">
        <v>8</v>
      </c>
      <c r="B40" s="294" t="s">
        <v>852</v>
      </c>
      <c r="C40" s="295" t="s">
        <v>245</v>
      </c>
      <c r="D40" s="296">
        <v>32</v>
      </c>
      <c r="E40" s="315"/>
      <c r="F40" s="298">
        <f t="shared" si="0"/>
        <v>0</v>
      </c>
    </row>
    <row r="41" spans="1:6" s="308" customFormat="1" ht="15.75" customHeight="1" thickBot="1">
      <c r="A41" s="299">
        <v>9</v>
      </c>
      <c r="B41" s="316" t="s">
        <v>853</v>
      </c>
      <c r="C41" s="295" t="s">
        <v>245</v>
      </c>
      <c r="D41" s="296">
        <v>6</v>
      </c>
      <c r="E41" s="315"/>
      <c r="F41" s="298">
        <f>D41*E41</f>
        <v>0</v>
      </c>
    </row>
    <row r="42" spans="1:6" s="308" customFormat="1" ht="15.75" customHeight="1" thickBot="1">
      <c r="A42" s="299">
        <v>10</v>
      </c>
      <c r="B42" s="294" t="s">
        <v>854</v>
      </c>
      <c r="C42" s="295" t="s">
        <v>827</v>
      </c>
      <c r="D42" s="296">
        <v>1</v>
      </c>
      <c r="E42" s="315"/>
      <c r="F42" s="298">
        <f t="shared" si="0"/>
        <v>0</v>
      </c>
    </row>
    <row r="43" spans="1:6" s="308" customFormat="1" ht="15.75" customHeight="1" thickBot="1">
      <c r="A43" s="299"/>
      <c r="B43" s="317" t="s">
        <v>842</v>
      </c>
      <c r="C43" s="295"/>
      <c r="D43" s="296"/>
      <c r="E43" s="297"/>
      <c r="F43" s="300">
        <f>SUM(F33:F42)</f>
        <v>0</v>
      </c>
    </row>
    <row r="44" spans="1:6" s="308" customFormat="1" ht="15.75" customHeight="1" thickBot="1">
      <c r="A44" s="299">
        <v>11</v>
      </c>
      <c r="B44" s="318" t="s">
        <v>855</v>
      </c>
      <c r="C44" s="295" t="s">
        <v>827</v>
      </c>
      <c r="D44" s="296"/>
      <c r="E44" s="315"/>
      <c r="F44" s="298">
        <f>F43*0.03</f>
        <v>0</v>
      </c>
    </row>
    <row r="45" spans="1:6" s="308" customFormat="1" ht="15.75" customHeight="1" thickBot="1">
      <c r="A45" s="302"/>
      <c r="B45" s="303" t="s">
        <v>842</v>
      </c>
      <c r="C45" s="304"/>
      <c r="D45" s="305"/>
      <c r="E45" s="306"/>
      <c r="F45" s="307">
        <f>SUM(F43:F44)</f>
        <v>0</v>
      </c>
    </row>
    <row r="46" spans="1:6" s="308" customFormat="1" ht="15.75" customHeight="1" thickBot="1">
      <c r="A46" s="309"/>
      <c r="B46" s="310"/>
      <c r="C46" s="311"/>
      <c r="D46" s="312"/>
      <c r="E46" s="313"/>
      <c r="F46" s="314"/>
    </row>
    <row r="47" spans="1:6" ht="30.75" customHeight="1" thickBot="1">
      <c r="A47" s="319"/>
      <c r="B47" s="320" t="s">
        <v>823</v>
      </c>
      <c r="C47" s="321"/>
      <c r="D47" s="322"/>
      <c r="E47" s="323"/>
      <c r="F47" s="324">
        <f>F9</f>
        <v>0</v>
      </c>
    </row>
    <row r="50" ht="13.5">
      <c r="B50" s="329"/>
    </row>
    <row r="51" ht="13.5">
      <c r="B51" s="329"/>
    </row>
    <row r="52" ht="13.5">
      <c r="B52" s="329"/>
    </row>
  </sheetData>
  <sheetProtection/>
  <mergeCells count="2">
    <mergeCell ref="B2:E2"/>
    <mergeCell ref="C3:E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130" zoomScaleNormal="130" zoomScaleSheetLayoutView="75" zoomScalePageLayoutView="0" workbookViewId="0" topLeftCell="A1">
      <selection activeCell="B2" sqref="B2"/>
    </sheetView>
  </sheetViews>
  <sheetFormatPr defaultColWidth="9.33203125" defaultRowHeight="13.5"/>
  <cols>
    <col min="1" max="1" width="58" style="330" customWidth="1"/>
    <col min="2" max="2" width="24.5" style="330" customWidth="1"/>
    <col min="3" max="3" width="19.5" style="330" customWidth="1"/>
    <col min="4" max="4" width="24.5" style="330" customWidth="1"/>
    <col min="5" max="5" width="20.83203125" style="330" customWidth="1"/>
    <col min="6" max="6" width="12.16015625" style="330" bestFit="1" customWidth="1"/>
    <col min="7" max="16384" width="9.33203125" style="330" customWidth="1"/>
  </cols>
  <sheetData>
    <row r="1" spans="1:4" ht="32.25" customHeight="1" thickBot="1" thickTop="1">
      <c r="A1" s="363" t="s">
        <v>863</v>
      </c>
      <c r="B1" s="362" t="s">
        <v>35</v>
      </c>
      <c r="C1" s="361" t="s">
        <v>36</v>
      </c>
      <c r="D1" s="360" t="s">
        <v>43</v>
      </c>
    </row>
    <row r="2" spans="1:4" s="346" customFormat="1" ht="24.75" customHeight="1">
      <c r="A2" s="359" t="s">
        <v>862</v>
      </c>
      <c r="B2" s="354"/>
      <c r="C2" s="354">
        <f>B2*0.21</f>
        <v>0</v>
      </c>
      <c r="D2" s="352">
        <f>B2+C2</f>
        <v>0</v>
      </c>
    </row>
    <row r="3" spans="1:4" s="334" customFormat="1" ht="24.75" customHeight="1">
      <c r="A3" s="358" t="s">
        <v>861</v>
      </c>
      <c r="B3" s="357"/>
      <c r="C3" s="357">
        <f>B3*0.21</f>
        <v>0</v>
      </c>
      <c r="D3" s="356">
        <f>B3+C3</f>
        <v>0</v>
      </c>
    </row>
    <row r="4" spans="1:4" s="351" customFormat="1" ht="24.75" customHeight="1" thickBot="1">
      <c r="A4" s="355" t="s">
        <v>860</v>
      </c>
      <c r="B4" s="354"/>
      <c r="C4" s="353">
        <f>B4*0.21</f>
        <v>0</v>
      </c>
      <c r="D4" s="352">
        <f>B4+C4</f>
        <v>0</v>
      </c>
    </row>
    <row r="5" spans="1:5" s="346" customFormat="1" ht="24.75" customHeight="1" thickBot="1" thickTop="1">
      <c r="A5" s="350" t="s">
        <v>859</v>
      </c>
      <c r="B5" s="349">
        <f>SUM(B2:B4)</f>
        <v>0</v>
      </c>
      <c r="C5" s="349">
        <f>SUM(C2:C4)</f>
        <v>0</v>
      </c>
      <c r="D5" s="348">
        <f>IF(SUM(B5:C5)=SUM(D2:D4),SUM(D2:D4),"CHYBA")</f>
        <v>0</v>
      </c>
      <c r="E5" s="347"/>
    </row>
    <row r="6" spans="1:5" s="334" customFormat="1" ht="24.75" customHeight="1" thickBot="1" thickTop="1">
      <c r="A6" s="345" t="s">
        <v>858</v>
      </c>
      <c r="B6" s="344"/>
      <c r="C6" s="344">
        <f>B6*0.21</f>
        <v>0</v>
      </c>
      <c r="D6" s="343">
        <f>B6+C6</f>
        <v>0</v>
      </c>
      <c r="E6" s="336"/>
    </row>
    <row r="7" spans="1:5" s="339" customFormat="1" ht="24.75" customHeight="1" thickBot="1" thickTop="1">
      <c r="A7" s="342" t="s">
        <v>857</v>
      </c>
      <c r="B7" s="341">
        <f>B5+B6</f>
        <v>0</v>
      </c>
      <c r="C7" s="341">
        <f>C5+C6</f>
        <v>0</v>
      </c>
      <c r="D7" s="341">
        <f>D5+D6</f>
        <v>0</v>
      </c>
      <c r="E7" s="340"/>
    </row>
    <row r="8" spans="1:7" s="334" customFormat="1" ht="24.75" customHeight="1" thickTop="1">
      <c r="A8" s="338"/>
      <c r="B8" s="337"/>
      <c r="C8" s="337"/>
      <c r="D8" s="337"/>
      <c r="G8" s="336"/>
    </row>
    <row r="9" spans="1:5" ht="24.75" customHeight="1">
      <c r="A9" s="335" t="s">
        <v>856</v>
      </c>
      <c r="B9" s="332"/>
      <c r="C9" s="332"/>
      <c r="D9" s="332"/>
      <c r="E9" s="334"/>
    </row>
    <row r="10" spans="1:4" ht="24.75" customHeight="1">
      <c r="A10" s="332"/>
      <c r="B10" s="332"/>
      <c r="C10" s="332"/>
      <c r="D10" s="332"/>
    </row>
    <row r="11" spans="1:4" ht="24.75" customHeight="1">
      <c r="A11" s="333"/>
      <c r="B11" s="332"/>
      <c r="C11" s="332"/>
      <c r="D11" s="332"/>
    </row>
    <row r="12" spans="1:4" ht="27" customHeight="1">
      <c r="A12" s="331"/>
      <c r="B12" s="331"/>
      <c r="C12" s="331"/>
      <c r="D12" s="331"/>
    </row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</sheetData>
  <sheetProtection/>
  <printOptions horizontalCentered="1"/>
  <pageMargins left="0.5511811023622047" right="0.5905511811023623" top="2.55" bottom="0.6692913385826772" header="0.984251968503937" footer="0.5118110236220472"/>
  <pageSetup horizontalDpi="600" verticalDpi="600" orientation="portrait" paperSize="9" scale="85" r:id="rId1"/>
  <headerFooter alignWithMargins="0">
    <oddHeader>&amp;C&amp;"Arial CE,Tučné"&amp;24ZŘÍZENÍ VÝTAHU V BUDOVĚ MZ
&amp;20STAVEBNÍ ÚPRAVY č.p.59 ul.TYRŠOVA, NÁCHOD&amp;24
&amp;18SOUHRNNÝ ROZPOČET NÁKLADŮ STAVBY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3.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Ficková Vlasta</cp:lastModifiedBy>
  <cp:lastPrinted>2013-05-07T06:08:31Z</cp:lastPrinted>
  <dcterms:modified xsi:type="dcterms:W3CDTF">2015-10-23T12:06:29Z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