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<sst xmlns="http://schemas.openxmlformats.org/spreadsheetml/2006/main" count="401" uniqueCount="259">
  <si>
    <t>Stavební rozpočet</t>
  </si>
  <si>
    <t>Název stavby:</t>
  </si>
  <si>
    <t>Druh stavby: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</si>
  <si>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</si>
  <si>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</si>
  <si>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</si>
  <si>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</si>
  <si>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</si>
  <si>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</si>
  <si>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</si>
  <si>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</si>
  <si>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</si>
  <si>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</si>
  <si>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</si>
  <si>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</si>
  <si>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</si>
  <si>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</si>
  <si>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</si>
  <si>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</si>
  <si>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</si>
  <si>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</si>
  <si>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</si>
  <si>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</si>
  <si>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</si>
  <si>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</si>
  <si>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</si>
  <si>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</si>
  <si>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</si>
  <si>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</si>
  <si>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</si>
  <si>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</si>
  <si>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</si>
  <si>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</si>
  <si>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</si>
  <si>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</si>
  <si>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</si>
  <si>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</si>
  <si>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</si>
  <si>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</si>
  <si>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</si>
  <si>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</si>
  <si>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</si>
  <si>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</si>
  <si>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</si>
  <si>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</si>
  <si>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</si>
  <si>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</si>
  <si>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</si>
  <si>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</si>
  <si>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</si>
  <si>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</si>
  <si>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</si>
  <si>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</si>
  <si>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</si>
  <si>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Objekt</t>
  </si>
  <si>
    <t>Kód</t>
  </si>
  <si>
    <t>115001103R00</t>
  </si>
  <si>
    <t>115101201R00</t>
  </si>
  <si>
    <t>122201101R00</t>
  </si>
  <si>
    <t>131201102R00</t>
  </si>
  <si>
    <t>132201101R00</t>
  </si>
  <si>
    <t>132201201R00</t>
  </si>
  <si>
    <t>161101101R00</t>
  </si>
  <si>
    <t>162207111R00</t>
  </si>
  <si>
    <t>167101101R00</t>
  </si>
  <si>
    <t>174101101R00</t>
  </si>
  <si>
    <t>171201101R00</t>
  </si>
  <si>
    <t>317321117R00</t>
  </si>
  <si>
    <t>321321116VD</t>
  </si>
  <si>
    <t>321311116VD</t>
  </si>
  <si>
    <t>321311115R00</t>
  </si>
  <si>
    <t>321311112R00</t>
  </si>
  <si>
    <t>321351010R00</t>
  </si>
  <si>
    <t>321352010R00</t>
  </si>
  <si>
    <t>321361102R00</t>
  </si>
  <si>
    <t>389121111R00</t>
  </si>
  <si>
    <t>451573111R00</t>
  </si>
  <si>
    <t>457311116R00</t>
  </si>
  <si>
    <t>457451133VD</t>
  </si>
  <si>
    <t>452218142R00</t>
  </si>
  <si>
    <t>451311511R00</t>
  </si>
  <si>
    <t>451571111R00</t>
  </si>
  <si>
    <t>465513227R00</t>
  </si>
  <si>
    <t>465512227R00</t>
  </si>
  <si>
    <t>711</t>
  </si>
  <si>
    <t>711111001RZ1</t>
  </si>
  <si>
    <t>711112001RZ1</t>
  </si>
  <si>
    <t>783</t>
  </si>
  <si>
    <t>783225400R00</t>
  </si>
  <si>
    <t>783424340R00</t>
  </si>
  <si>
    <t>89</t>
  </si>
  <si>
    <t>899501111R00</t>
  </si>
  <si>
    <t>899911113R00</t>
  </si>
  <si>
    <t>91</t>
  </si>
  <si>
    <t>911231111R00</t>
  </si>
  <si>
    <t>93</t>
  </si>
  <si>
    <t>936173113R00</t>
  </si>
  <si>
    <t>936173111R00</t>
  </si>
  <si>
    <t>931997111R00</t>
  </si>
  <si>
    <t>H32</t>
  </si>
  <si>
    <t>998324011R00</t>
  </si>
  <si>
    <t>13384415</t>
  </si>
  <si>
    <t>13384425</t>
  </si>
  <si>
    <t>13224860</t>
  </si>
  <si>
    <t>13224850</t>
  </si>
  <si>
    <t>13321292</t>
  </si>
  <si>
    <t>13640315</t>
  </si>
  <si>
    <t>14111051</t>
  </si>
  <si>
    <t>59383120</t>
  </si>
  <si>
    <t>Rybník R1 v k.ú. Dobřeň</t>
  </si>
  <si>
    <t>nová stavba</t>
  </si>
  <si>
    <t>SO 3 - Bezpečnostní přeliv s požerákem</t>
  </si>
  <si>
    <t>Zkrácený popis</t>
  </si>
  <si>
    <t>Přípravné a přidružené práce</t>
  </si>
  <si>
    <t>Převedení vody potrubím o průměru do DN 200 mm</t>
  </si>
  <si>
    <t>Čerpání vody na výšku do 10 m, přítok do 500 l</t>
  </si>
  <si>
    <t>Odkopávky a prokopávky</t>
  </si>
  <si>
    <t>Odkopávky nezapažené v hor. 3 do 100 m3</t>
  </si>
  <si>
    <t>Hloubené vykopávky</t>
  </si>
  <si>
    <t>Hloubení nezapažených jam v hor.3 do 1000 m3</t>
  </si>
  <si>
    <t>Hloubení rýh šířky do 60 cm v hor.3 do 100 m3</t>
  </si>
  <si>
    <t>Hloubení rýh šířky do 200 cm v hor.3 do 100 m3</t>
  </si>
  <si>
    <t>Přemístění výkopku</t>
  </si>
  <si>
    <t>Svislé přemístění výkopku z hor.1-4 do 2,5 m</t>
  </si>
  <si>
    <t>Vodorovné přemístění výkopku hor. 1-4 do 50 m</t>
  </si>
  <si>
    <t>Nakládání výkopku z hor.1-4 v množství do 100 m3</t>
  </si>
  <si>
    <t>Konstrukce ze zemin</t>
  </si>
  <si>
    <t>Zásyp jam, rýh, šachet se zhutněním</t>
  </si>
  <si>
    <t>Uložení sypaniny do násypů nezhutněných</t>
  </si>
  <si>
    <t>Zdi podpěrné a volné</t>
  </si>
  <si>
    <t>Římsy ze železového betonu C 25/30</t>
  </si>
  <si>
    <t>Zdi přehradní a opěrné</t>
  </si>
  <si>
    <t>Konstrukce přehrad ze železobetonu C 30/37</t>
  </si>
  <si>
    <t>Konstrukce z betonu prostého C 30/37 XF3</t>
  </si>
  <si>
    <t>Konstrukce přehrad z prostého betonu  C25/30 XF3</t>
  </si>
  <si>
    <t>Konstrukce přehrad z prostého betonu V4 T50 B 20</t>
  </si>
  <si>
    <t>Obednění konstrukcí přehrad ploch rovinných</t>
  </si>
  <si>
    <t>Odbednění konstrukcí přehrad ploch rovinných</t>
  </si>
  <si>
    <t>Výztuž ŽB konstrukcí přehrad ocelí 10216, D 32 mm</t>
  </si>
  <si>
    <t>Různé kompletní konstrukce (nedělitelné do stavebních dílů)</t>
  </si>
  <si>
    <t>Osazení dílců rámové konstrukce do 5 t</t>
  </si>
  <si>
    <t>Podkladní a vedlejší konstrukce (inženýr. stavby kromě vozovek a železnič. svršku)</t>
  </si>
  <si>
    <t>Lože pod potrubí ze štěrkopísku do 63 mm</t>
  </si>
  <si>
    <t>Vyrovnávací beton výplňový nebo spádový B 20</t>
  </si>
  <si>
    <t>Ochranná vrstva betonová na izolaci se sítí</t>
  </si>
  <si>
    <t>Zajišťovací práh z upraveného lom. kamene, na MC</t>
  </si>
  <si>
    <t>Podklad pod dlažbu z betonu V4 T0 B 12,5, do 10 cm</t>
  </si>
  <si>
    <t>Lože dlažby ze štěrkopísků tl. do 10 cm</t>
  </si>
  <si>
    <t>Zpevněné plochy (kromě vozovek a železnič. svršku)</t>
  </si>
  <si>
    <t>Dlažba z kamene na MC, s vyspárov. MCs, tl. 25 cm</t>
  </si>
  <si>
    <t>Dlažba z kamene na sucho, zalití spár MC, tl.25 cm</t>
  </si>
  <si>
    <t>Izolace proti vodě</t>
  </si>
  <si>
    <t>Izolace proti vlhkosti vodor. nátěr ALP za studena včetně dodávky nátěru</t>
  </si>
  <si>
    <t>Izolace proti vlhkosti svis. nátěr ALP, za studena včetně dodávky laku</t>
  </si>
  <si>
    <t>Nátěry</t>
  </si>
  <si>
    <t>Nátěr syntetický kov. konstr. 2x + 1x email + tmel</t>
  </si>
  <si>
    <t>Nátěr syntet. potrubí do DN 50 mm  Z+2x +1x email</t>
  </si>
  <si>
    <t>Ostatní konstrukce</t>
  </si>
  <si>
    <t>Stupadla vidlicová osazovaná při zdění a betonáži</t>
  </si>
  <si>
    <t>Osazení ocelových součástí nad 10 kg jednotlivě</t>
  </si>
  <si>
    <t>Doplňující konstrukce a práce pozemních komunikací, letišť a ploch</t>
  </si>
  <si>
    <t>Osazení a montáž silnič.zábradlí ocelového,2 madla</t>
  </si>
  <si>
    <t>Různé dokončovací konstrukce a práce inženýrských staveb</t>
  </si>
  <si>
    <t>Osazení doplňkových ocel. konstrukcí do 100 kg</t>
  </si>
  <si>
    <t>Osazení doplňkových ocel. konstrukcí do 20 kg</t>
  </si>
  <si>
    <t>Úprava dilatace těsnícím bobtnajícím profilem SikaSwell P-2507 HM</t>
  </si>
  <si>
    <t>Hráze a objekty na tocích</t>
  </si>
  <si>
    <t>Přesun hmot pro objekty v zemních hrázích</t>
  </si>
  <si>
    <t>Ostatní materiál</t>
  </si>
  <si>
    <t>Tyč průřezu U  65, střední, jakost oceli 11375</t>
  </si>
  <si>
    <t>Tyč průřezu U 100, střední, jakost oceli 11375</t>
  </si>
  <si>
    <t>Tyč ocelová plochá jakost 11375  35x10 mm</t>
  </si>
  <si>
    <t>Tyč ocelová plochá jakost 11375  35x 5 mm</t>
  </si>
  <si>
    <t>Tyč ocelová plochá jakost 11523  70x10 mm</t>
  </si>
  <si>
    <t>Plech žebrovaný DIN 59220/83  4x1000x2000 mm</t>
  </si>
  <si>
    <t>Trubky bezešvé hladké jakost 11353.1  D 38x4,0 mm</t>
  </si>
  <si>
    <t>Propusť rámová IZM 2/1 dl. 1 m</t>
  </si>
  <si>
    <t>Doba výstavby:</t>
  </si>
  <si>
    <t>Začátek výstavby:</t>
  </si>
  <si>
    <t>Konec výstavby:</t>
  </si>
  <si>
    <t>Zpracováno dne:</t>
  </si>
  <si>
    <t>M.j.</t>
  </si>
  <si>
    <t>m</t>
  </si>
  <si>
    <t>hod</t>
  </si>
  <si>
    <t>m3</t>
  </si>
  <si>
    <t>m2</t>
  </si>
  <si>
    <t>t</t>
  </si>
  <si>
    <t>kus</t>
  </si>
  <si>
    <t>kg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</si>
  <si>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</si>
  <si>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</si>
  <si>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</si>
  <si>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</si>
  <si>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</si>
  <si>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</si>
  <si>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</si>
  <si>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</si>
  <si>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</si>
  <si>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</si>
  <si>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</si>
  <si>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</si>
  <si>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Pozemkový úřad Kutná Hora</t>
  </si>
  <si>
    <t>AGRO-AQUA s.r.o. Pardubice</t>
  </si>
  <si>
    <t>Celkem</t>
  </si>
  <si>
    <t>Hmotnost (t)</t>
  </si>
  <si>
    <t>0</t>
  </si>
  <si>
    <t>Přesuny</t>
  </si>
  <si>
    <t>Typ skupiny</t>
  </si>
  <si>
    <t>HS</t>
  </si>
  <si>
    <t>PS</t>
  </si>
  <si>
    <t>PR</t>
  </si>
  <si>
    <t>OM</t>
  </si>
  <si>
    <t>HSV mat</t>
  </si>
  <si>
    <t>HSV prac</t>
  </si>
  <si>
    <t>PSV mat</t>
  </si>
  <si>
    <t>PSV prac</t>
  </si>
  <si>
    <t>Mont mat</t>
  </si>
  <si>
    <t>Mont prac</t>
  </si>
  <si>
    <t>Ostatní mat.</t>
  </si>
  <si>
    <t>Krycí list rozpočtu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</si>
  <si>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</si>
  <si>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</si>
  <si>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</si>
  <si>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</si>
  <si>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</si>
  <si>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</si>
  <si>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</si>
  <si>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</si>
  <si>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</si>
  <si>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</si>
  <si>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</si>
  <si>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</si>
  <si>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</si>
  <si>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</si>
  <si>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</si>
  <si>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</si>
  <si>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</si>
  <si>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</si>
  <si>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</si>
  <si>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</si>
  <si>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</si>
  <si>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</si>
  <si>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</si>
  <si>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</si>
  <si>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</si>
  <si>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</si>
  <si>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</si>
  <si>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</si>
  <si>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</si>
  <si>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</si>
  <si>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</si>
  <si>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</si>
  <si>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</si>
  <si>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</si>
  <si>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CÚ 1/09 RTS</t>
  </si>
  <si>
    <t>Základ 20%</t>
  </si>
  <si>
    <t>DPH 20%</t>
  </si>
  <si>
    <t>Základ 10%</t>
  </si>
  <si>
    <t>DPH 10%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</si>
</sst>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7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3" fillId="20" borderId="0" applyNumberFormat="0" applyBorder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1">
    <xf numFmtId="0" fontId="1" fillId="0" borderId="0" xfId="0" applyFont="1" applyAlignment="1">
      <alignment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9" fontId="6" fillId="33" borderId="17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49" fontId="7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49" fontId="8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8" fillId="0" borderId="17" xfId="0" applyNumberFormat="1" applyFont="1" applyFill="1" applyBorder="1" applyAlignment="1" applyProtection="1">
      <alignment horizontal="right" vertical="center"/>
      <protection/>
    </xf>
    <xf numFmtId="49" fontId="8" fillId="0" borderId="17" xfId="0" applyNumberFormat="1" applyFont="1" applyFill="1" applyBorder="1" applyAlignment="1" applyProtection="1">
      <alignment horizontal="right" vertical="center"/>
      <protection/>
    </xf>
    <xf numFmtId="4" fontId="7" fillId="33" borderId="24" xfId="0" applyNumberFormat="1" applyFont="1" applyFill="1" applyBorder="1" applyAlignment="1" applyProtection="1">
      <alignment horizontal="right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0" borderId="27" xfId="0" applyNumberFormat="1" applyFont="1" applyFill="1" applyBorder="1" applyAlignment="1" applyProtection="1">
      <alignment horizontal="righ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49" fontId="10" fillId="33" borderId="17" xfId="0" applyNumberFormat="1" applyFont="1" applyFill="1" applyBorder="1" applyAlignment="1" applyProtection="1">
      <alignment horizontal="left" vertical="center"/>
      <protection/>
    </xf>
    <xf numFmtId="49" fontId="11" fillId="33" borderId="17" xfId="0" applyNumberFormat="1" applyFont="1" applyFill="1" applyBorder="1" applyAlignment="1" applyProtection="1">
      <alignment horizontal="left" vertical="center"/>
      <protection/>
    </xf>
    <xf numFmtId="4" fontId="11" fillId="33" borderId="17" xfId="0" applyNumberFormat="1" applyFont="1" applyFill="1" applyBorder="1" applyAlignment="1" applyProtection="1">
      <alignment horizontal="right" vertical="center"/>
      <protection/>
    </xf>
    <xf numFmtId="49" fontId="11" fillId="33" borderId="17" xfId="0" applyNumberFormat="1" applyFont="1" applyFill="1" applyBorder="1" applyAlignment="1" applyProtection="1">
      <alignment horizontal="right" vertical="center"/>
      <protection/>
    </xf>
    <xf numFmtId="49" fontId="10" fillId="0" borderId="17" xfId="0" applyNumberFormat="1" applyFont="1" applyFill="1" applyBorder="1" applyAlignment="1" applyProtection="1">
      <alignment horizontal="left" vertical="center"/>
      <protection/>
    </xf>
    <xf numFmtId="4" fontId="10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10" fillId="33" borderId="30" xfId="0" applyNumberFormat="1" applyFont="1" applyFill="1" applyBorder="1" applyAlignment="1" applyProtection="1">
      <alignment horizontal="left" vertical="center"/>
      <protection/>
    </xf>
    <xf numFmtId="4" fontId="11" fillId="33" borderId="31" xfId="0" applyNumberFormat="1" applyFont="1" applyFill="1" applyBorder="1" applyAlignment="1" applyProtection="1">
      <alignment horizontal="right" vertical="center"/>
      <protection/>
    </xf>
    <xf numFmtId="49" fontId="10" fillId="0" borderId="30" xfId="0" applyNumberFormat="1" applyFont="1" applyFill="1" applyBorder="1" applyAlignment="1" applyProtection="1">
      <alignment horizontal="left" vertical="center"/>
      <protection/>
    </xf>
    <xf numFmtId="4" fontId="10" fillId="0" borderId="31" xfId="0" applyNumberFormat="1" applyFont="1" applyFill="1" applyBorder="1" applyAlignment="1" applyProtection="1">
      <alignment horizontal="righ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49" fontId="11" fillId="33" borderId="17" xfId="0" applyNumberFormat="1" applyFont="1" applyFill="1" applyBorder="1" applyAlignment="1" applyProtection="1">
      <alignment horizontal="left" vertical="center"/>
      <protection/>
    </xf>
    <xf numFmtId="0" fontId="11" fillId="33" borderId="17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49" fontId="3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4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45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49" fontId="8" fillId="0" borderId="35" xfId="0" applyNumberFormat="1" applyFont="1" applyFill="1" applyBorder="1" applyAlignment="1" applyProtection="1">
      <alignment horizontal="left" vertical="center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0" fontId="8" fillId="0" borderId="37" xfId="0" applyNumberFormat="1" applyFont="1" applyFill="1" applyBorder="1" applyAlignment="1" applyProtection="1">
      <alignment horizontal="left" vertical="center"/>
      <protection/>
    </xf>
    <xf numFmtId="49" fontId="8" fillId="0" borderId="46" xfId="0" applyNumberFormat="1" applyFont="1" applyFill="1" applyBorder="1" applyAlignment="1" applyProtection="1">
      <alignment horizontal="left" vertical="center"/>
      <protection/>
    </xf>
    <xf numFmtId="0" fontId="8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47" xfId="0" applyNumberFormat="1" applyFont="1" applyFill="1" applyBorder="1" applyAlignment="1" applyProtection="1">
      <alignment horizontal="left" vertical="center"/>
      <protection/>
    </xf>
    <xf numFmtId="49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34" xfId="0" applyNumberFormat="1" applyFont="1" applyFill="1" applyBorder="1" applyAlignment="1" applyProtection="1">
      <alignment horizontal="left" vertical="center"/>
      <protection/>
    </xf>
    <xf numFmtId="49" fontId="7" fillId="0" borderId="48" xfId="0" applyNumberFormat="1" applyFont="1" applyFill="1" applyBorder="1" applyAlignment="1" applyProtection="1">
      <alignment horizontal="left" vertical="center"/>
      <protection/>
    </xf>
    <xf numFmtId="0" fontId="7" fillId="0" borderId="24" xfId="0" applyNumberFormat="1" applyFont="1" applyFill="1" applyBorder="1" applyAlignment="1" applyProtection="1">
      <alignment horizontal="left" vertical="center"/>
      <protection/>
    </xf>
    <xf numFmtId="49" fontId="7" fillId="33" borderId="48" xfId="0" applyNumberFormat="1" applyFont="1" applyFill="1" applyBorder="1" applyAlignment="1" applyProtection="1">
      <alignment horizontal="left" vertical="center"/>
      <protection/>
    </xf>
    <xf numFmtId="0" fontId="7" fillId="33" borderId="20" xfId="0" applyNumberFormat="1" applyFont="1" applyFill="1" applyBorder="1" applyAlignment="1" applyProtection="1">
      <alignment horizontal="left" vertical="center"/>
      <protection/>
    </xf>
    <xf numFmtId="49" fontId="8" fillId="0" borderId="48" xfId="0" applyNumberFormat="1" applyFont="1" applyFill="1" applyBorder="1" applyAlignment="1" applyProtection="1">
      <alignment horizontal="left" vertical="center"/>
      <protection/>
    </xf>
    <xf numFmtId="0" fontId="8" fillId="0" borderId="24" xfId="0" applyNumberFormat="1" applyFont="1" applyFill="1" applyBorder="1" applyAlignment="1" applyProtection="1">
      <alignment horizontal="left" vertical="center"/>
      <protection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49" fontId="9" fillId="0" borderId="48" xfId="0" applyNumberFormat="1" applyFont="1" applyFill="1" applyBorder="1" applyAlignment="1" applyProtection="1">
      <alignment horizontal="left" vertical="center"/>
      <protection/>
    </xf>
    <xf numFmtId="0" fontId="9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49" fontId="1" fillId="0" borderId="42" xfId="0" applyNumberFormat="1" applyFont="1" applyFill="1" applyBorder="1" applyAlignment="1" applyProtection="1">
      <alignment horizontal="left" vertical="center"/>
      <protection/>
    </xf>
    <xf numFmtId="14" fontId="1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41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8"/>
  <sheetViews>
    <sheetView zoomScalePageLayoutView="0" workbookViewId="0" topLeftCell="A10">
      <selection activeCell="G26" sqref="G26"/>
    </sheetView>
  </sheetViews>
  <sheetFormatPr defaultColWidth="11.421875" defaultRowHeight="12.75"/>
  <cols>
    <col min="1" max="2" width="3.7109375" style="0" customWidth="1"/>
    <col min="3" max="3" width="13.28125" style="0" customWidth="1"/>
    <col min="4" max="4" width="48.00390625" style="0" customWidth="1"/>
    <col min="5" max="5" width="4.28125" style="0" customWidth="1"/>
    <col min="6" max="6" width="10.8515625" style="0" customWidth="1"/>
    <col min="7" max="9" width="10.28125" style="0" customWidth="1"/>
    <col min="10" max="10" width="12.140625" style="0" customWidth="1"/>
    <col min="11" max="11" width="9.28125" style="0" customWidth="1"/>
    <col min="12" max="12" width="10.28125" style="0" customWidth="1"/>
    <col min="13" max="13" width="11.421875" style="0" customWidth="1"/>
    <col min="14" max="37" width="12.140625" style="0" hidden="1" customWidth="1"/>
  </cols>
  <sheetData>
    <row r="1" spans="1:12" ht="21.75" customHeight="1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3" ht="12.75">
      <c r="A2" s="72" t="s">
        <v>1</v>
      </c>
      <c r="B2" s="61"/>
      <c r="C2" s="61"/>
      <c r="D2" s="53" t="s">
        <v>109</v>
      </c>
      <c r="E2" s="60" t="s">
        <v>177</v>
      </c>
      <c r="F2" s="61"/>
      <c r="G2" s="60"/>
      <c r="H2" s="61"/>
      <c r="I2" s="60" t="s">
        <v>196</v>
      </c>
      <c r="J2" s="60" t="s">
        <v>201</v>
      </c>
      <c r="K2" s="61"/>
      <c r="L2" s="62"/>
      <c r="M2" s="7"/>
    </row>
    <row r="3" spans="1:13" ht="12.75">
      <c r="A3" s="73"/>
      <c r="B3" s="63"/>
      <c r="C3" s="63"/>
      <c r="D3" s="69"/>
      <c r="E3" s="63"/>
      <c r="F3" s="63"/>
      <c r="G3" s="63"/>
      <c r="H3" s="63"/>
      <c r="I3" s="63"/>
      <c r="J3" s="63"/>
      <c r="K3" s="63"/>
      <c r="L3" s="64"/>
      <c r="M3" s="7"/>
    </row>
    <row r="4" spans="1:13" ht="12.75">
      <c r="A4" s="67" t="s">
        <v>2</v>
      </c>
      <c r="B4" s="63"/>
      <c r="C4" s="63"/>
      <c r="D4" s="58" t="s">
        <v>110</v>
      </c>
      <c r="E4" s="58" t="s">
        <v>178</v>
      </c>
      <c r="F4" s="63"/>
      <c r="G4" s="66"/>
      <c r="H4" s="63"/>
      <c r="I4" s="58" t="s">
        <v>197</v>
      </c>
      <c r="J4" s="58"/>
      <c r="K4" s="63"/>
      <c r="L4" s="64"/>
      <c r="M4" s="7"/>
    </row>
    <row r="5" spans="1:13" ht="12.75">
      <c r="A5" s="73"/>
      <c r="B5" s="63"/>
      <c r="C5" s="63"/>
      <c r="D5" s="63"/>
      <c r="E5" s="63"/>
      <c r="F5" s="63"/>
      <c r="G5" s="63"/>
      <c r="H5" s="63"/>
      <c r="I5" s="63"/>
      <c r="J5" s="63"/>
      <c r="K5" s="63"/>
      <c r="L5" s="64"/>
      <c r="M5" s="7"/>
    </row>
    <row r="6" spans="1:13" ht="12.75">
      <c r="A6" s="67" t="s">
        <v>3</v>
      </c>
      <c r="B6" s="63"/>
      <c r="C6" s="63"/>
      <c r="D6" s="58" t="s">
        <v>111</v>
      </c>
      <c r="E6" s="58" t="s">
        <v>179</v>
      </c>
      <c r="F6" s="63"/>
      <c r="G6" s="63"/>
      <c r="H6" s="63"/>
      <c r="I6" s="58" t="s">
        <v>198</v>
      </c>
      <c r="J6" s="58" t="s">
        <v>202</v>
      </c>
      <c r="K6" s="63"/>
      <c r="L6" s="64"/>
      <c r="M6" s="7"/>
    </row>
    <row r="7" spans="1:13" ht="12.75">
      <c r="A7" s="73"/>
      <c r="B7" s="63"/>
      <c r="C7" s="63"/>
      <c r="D7" s="63"/>
      <c r="E7" s="63"/>
      <c r="F7" s="63"/>
      <c r="G7" s="63"/>
      <c r="H7" s="63"/>
      <c r="I7" s="63"/>
      <c r="J7" s="63"/>
      <c r="K7" s="63"/>
      <c r="L7" s="64"/>
      <c r="M7" s="7"/>
    </row>
    <row r="8" spans="1:13" ht="12.75">
      <c r="A8" s="67" t="s">
        <v>4</v>
      </c>
      <c r="B8" s="63"/>
      <c r="C8" s="63"/>
      <c r="D8" s="58" t="s">
        <v>254</v>
      </c>
      <c r="E8" s="58" t="s">
        <v>180</v>
      </c>
      <c r="F8" s="63"/>
      <c r="G8" s="66"/>
      <c r="H8" s="63"/>
      <c r="I8" s="58" t="s">
        <v>199</v>
      </c>
      <c r="J8" s="58"/>
      <c r="K8" s="63"/>
      <c r="L8" s="64"/>
      <c r="M8" s="7"/>
    </row>
    <row r="9" spans="1:13" ht="13.5" thickBot="1">
      <c r="A9" s="68"/>
      <c r="B9" s="59"/>
      <c r="C9" s="59"/>
      <c r="D9" s="59"/>
      <c r="E9" s="59"/>
      <c r="F9" s="59"/>
      <c r="G9" s="59"/>
      <c r="H9" s="59"/>
      <c r="I9" s="59"/>
      <c r="J9" s="59"/>
      <c r="K9" s="59"/>
      <c r="L9" s="65"/>
      <c r="M9" s="7"/>
    </row>
    <row r="10" spans="1:13" ht="12.75">
      <c r="A10" s="1" t="s">
        <v>5</v>
      </c>
      <c r="B10" s="3" t="s">
        <v>5</v>
      </c>
      <c r="C10" s="3" t="s">
        <v>5</v>
      </c>
      <c r="D10" s="3" t="s">
        <v>5</v>
      </c>
      <c r="E10" s="3" t="s">
        <v>5</v>
      </c>
      <c r="F10" s="3" t="s">
        <v>5</v>
      </c>
      <c r="G10" s="5" t="s">
        <v>191</v>
      </c>
      <c r="H10" s="55" t="s">
        <v>193</v>
      </c>
      <c r="I10" s="56"/>
      <c r="J10" s="57"/>
      <c r="K10" s="55" t="s">
        <v>204</v>
      </c>
      <c r="L10" s="57"/>
      <c r="M10" s="38"/>
    </row>
    <row r="11" spans="1:24" ht="12.75">
      <c r="A11" s="25" t="s">
        <v>6</v>
      </c>
      <c r="B11" s="26" t="s">
        <v>54</v>
      </c>
      <c r="C11" s="26" t="s">
        <v>55</v>
      </c>
      <c r="D11" s="26" t="s">
        <v>112</v>
      </c>
      <c r="E11" s="26" t="s">
        <v>181</v>
      </c>
      <c r="F11" s="27" t="s">
        <v>190</v>
      </c>
      <c r="G11" s="28" t="s">
        <v>192</v>
      </c>
      <c r="H11" s="29" t="s">
        <v>194</v>
      </c>
      <c r="I11" s="30" t="s">
        <v>200</v>
      </c>
      <c r="J11" s="31" t="s">
        <v>203</v>
      </c>
      <c r="K11" s="29" t="s">
        <v>191</v>
      </c>
      <c r="L11" s="31" t="s">
        <v>203</v>
      </c>
      <c r="M11" s="38"/>
      <c r="P11" s="6" t="s">
        <v>206</v>
      </c>
      <c r="Q11" s="6" t="s">
        <v>207</v>
      </c>
      <c r="R11" s="6" t="s">
        <v>212</v>
      </c>
      <c r="S11" s="6" t="s">
        <v>213</v>
      </c>
      <c r="T11" s="6" t="s">
        <v>214</v>
      </c>
      <c r="U11" s="6" t="s">
        <v>215</v>
      </c>
      <c r="V11" s="6" t="s">
        <v>216</v>
      </c>
      <c r="W11" s="6" t="s">
        <v>217</v>
      </c>
      <c r="X11" s="6" t="s">
        <v>218</v>
      </c>
    </row>
    <row r="12" spans="1:37" ht="12.75">
      <c r="A12" s="39"/>
      <c r="B12" s="32"/>
      <c r="C12" s="33" t="s">
        <v>17</v>
      </c>
      <c r="D12" s="51" t="s">
        <v>113</v>
      </c>
      <c r="E12" s="52"/>
      <c r="F12" s="52"/>
      <c r="G12" s="52"/>
      <c r="H12" s="34">
        <f>SUM(H13:H14)</f>
        <v>0</v>
      </c>
      <c r="I12" s="34">
        <f>SUM(I13:I14)</f>
        <v>0</v>
      </c>
      <c r="J12" s="34">
        <f>H12+I12</f>
        <v>0</v>
      </c>
      <c r="K12" s="35"/>
      <c r="L12" s="40">
        <f>SUM(L13:L14)</f>
        <v>0.29295000000000004</v>
      </c>
      <c r="P12" s="10">
        <f>IF(Q12="PR",J12,SUM(O13:O14))</f>
        <v>0</v>
      </c>
      <c r="Q12" s="6" t="s">
        <v>208</v>
      </c>
      <c r="R12" s="10">
        <f>IF(Q12="HS",H12,0)</f>
        <v>0</v>
      </c>
      <c r="S12" s="10">
        <f>IF(Q12="HS",I12-P12,0)</f>
        <v>0</v>
      </c>
      <c r="T12" s="10">
        <f>IF(Q12="PS",H12,0)</f>
        <v>0</v>
      </c>
      <c r="U12" s="10">
        <f>IF(Q12="PS",I12-P12,0)</f>
        <v>0</v>
      </c>
      <c r="V12" s="10">
        <f>IF(Q12="MP",H12,0)</f>
        <v>0</v>
      </c>
      <c r="W12" s="10">
        <f>IF(Q12="MP",I12-P12,0)</f>
        <v>0</v>
      </c>
      <c r="X12" s="10">
        <f>IF(Q12="OM",H12,0)</f>
        <v>0</v>
      </c>
      <c r="Y12" s="6"/>
      <c r="AI12" s="10">
        <f>SUM(Z13:Z14)</f>
        <v>0</v>
      </c>
      <c r="AJ12" s="10">
        <f>SUM(AA13:AA14)</f>
        <v>0</v>
      </c>
      <c r="AK12" s="10">
        <f>SUM(AB13:AB14)</f>
        <v>0</v>
      </c>
    </row>
    <row r="13" spans="1:32" ht="12.75">
      <c r="A13" s="41" t="s">
        <v>7</v>
      </c>
      <c r="B13" s="36"/>
      <c r="C13" s="36" t="s">
        <v>56</v>
      </c>
      <c r="D13" s="36" t="s">
        <v>114</v>
      </c>
      <c r="E13" s="36" t="s">
        <v>182</v>
      </c>
      <c r="F13" s="37">
        <v>35</v>
      </c>
      <c r="G13" s="37"/>
      <c r="H13" s="37">
        <f>ROUND(F13*AE13,2)</f>
        <v>0</v>
      </c>
      <c r="I13" s="37">
        <f>J13-H13</f>
        <v>0</v>
      </c>
      <c r="J13" s="37">
        <f>ROUND(F13*G13,2)</f>
        <v>0</v>
      </c>
      <c r="K13" s="37">
        <v>0.00837</v>
      </c>
      <c r="L13" s="42">
        <f>F13*K13</f>
        <v>0.29295000000000004</v>
      </c>
      <c r="N13" s="9" t="s">
        <v>7</v>
      </c>
      <c r="O13" s="4">
        <f>IF(N13="5",I13,0)</f>
        <v>0</v>
      </c>
      <c r="Z13" s="4">
        <f>IF(AD13=0,J13,0)</f>
        <v>0</v>
      </c>
      <c r="AA13" s="4">
        <f>IF(AD13=9,J13,0)</f>
        <v>0</v>
      </c>
      <c r="AB13" s="4">
        <f>IF(AD13=19,J13,0)</f>
        <v>0</v>
      </c>
      <c r="AD13" s="4">
        <v>19</v>
      </c>
      <c r="AE13" s="4">
        <f>G13*0.464437306412757</f>
        <v>0</v>
      </c>
      <c r="AF13" s="4">
        <f>G13*(1-0.464437306412757)</f>
        <v>0</v>
      </c>
    </row>
    <row r="14" spans="1:32" ht="12.75">
      <c r="A14" s="41" t="s">
        <v>8</v>
      </c>
      <c r="B14" s="36"/>
      <c r="C14" s="36" t="s">
        <v>57</v>
      </c>
      <c r="D14" s="36" t="s">
        <v>115</v>
      </c>
      <c r="E14" s="36" t="s">
        <v>183</v>
      </c>
      <c r="F14" s="37">
        <v>500</v>
      </c>
      <c r="G14" s="37"/>
      <c r="H14" s="37">
        <f>ROUND(F14*AE14,2)</f>
        <v>0</v>
      </c>
      <c r="I14" s="37">
        <f>J14-H14</f>
        <v>0</v>
      </c>
      <c r="J14" s="37">
        <f>ROUND(F14*G14,2)</f>
        <v>0</v>
      </c>
      <c r="K14" s="37">
        <v>0</v>
      </c>
      <c r="L14" s="42">
        <f>F14*K14</f>
        <v>0</v>
      </c>
      <c r="N14" s="9" t="s">
        <v>7</v>
      </c>
      <c r="O14" s="4">
        <f>IF(N14="5",I14,0)</f>
        <v>0</v>
      </c>
      <c r="Z14" s="4">
        <f>IF(AD14=0,J14,0)</f>
        <v>0</v>
      </c>
      <c r="AA14" s="4">
        <f>IF(AD14=9,J14,0)</f>
        <v>0</v>
      </c>
      <c r="AB14" s="4">
        <f>IF(AD14=19,J14,0)</f>
        <v>0</v>
      </c>
      <c r="AD14" s="4">
        <v>19</v>
      </c>
      <c r="AE14" s="4">
        <f>G14*0</f>
        <v>0</v>
      </c>
      <c r="AF14" s="4">
        <f>G14*(1-0)</f>
        <v>0</v>
      </c>
    </row>
    <row r="15" spans="1:37" ht="12.75">
      <c r="A15" s="39"/>
      <c r="B15" s="32"/>
      <c r="C15" s="33" t="s">
        <v>18</v>
      </c>
      <c r="D15" s="51" t="s">
        <v>116</v>
      </c>
      <c r="E15" s="52"/>
      <c r="F15" s="52"/>
      <c r="G15" s="52"/>
      <c r="H15" s="34">
        <f>SUM(H16:H16)</f>
        <v>0</v>
      </c>
      <c r="I15" s="34">
        <f>SUM(I16:I16)</f>
        <v>0</v>
      </c>
      <c r="J15" s="34">
        <f>H15+I15</f>
        <v>0</v>
      </c>
      <c r="K15" s="35"/>
      <c r="L15" s="40">
        <f>SUM(L16:L16)</f>
        <v>0</v>
      </c>
      <c r="P15" s="10">
        <f>IF(Q15="PR",J15,SUM(O16:O16))</f>
        <v>0</v>
      </c>
      <c r="Q15" s="6" t="s">
        <v>208</v>
      </c>
      <c r="R15" s="10">
        <f>IF(Q15="HS",H15,0)</f>
        <v>0</v>
      </c>
      <c r="S15" s="10">
        <f>IF(Q15="HS",I15-P15,0)</f>
        <v>0</v>
      </c>
      <c r="T15" s="10">
        <f>IF(Q15="PS",H15,0)</f>
        <v>0</v>
      </c>
      <c r="U15" s="10">
        <f>IF(Q15="PS",I15-P15,0)</f>
        <v>0</v>
      </c>
      <c r="V15" s="10">
        <f>IF(Q15="MP",H15,0)</f>
        <v>0</v>
      </c>
      <c r="W15" s="10">
        <f>IF(Q15="MP",I15-P15,0)</f>
        <v>0</v>
      </c>
      <c r="X15" s="10">
        <f>IF(Q15="OM",H15,0)</f>
        <v>0</v>
      </c>
      <c r="Y15" s="6"/>
      <c r="AI15" s="10">
        <f>SUM(Z16:Z16)</f>
        <v>0</v>
      </c>
      <c r="AJ15" s="10">
        <f>SUM(AA16:AA16)</f>
        <v>0</v>
      </c>
      <c r="AK15" s="10">
        <f>SUM(AB16:AB16)</f>
        <v>0</v>
      </c>
    </row>
    <row r="16" spans="1:32" ht="12.75">
      <c r="A16" s="41" t="s">
        <v>9</v>
      </c>
      <c r="B16" s="36"/>
      <c r="C16" s="36" t="s">
        <v>58</v>
      </c>
      <c r="D16" s="36" t="s">
        <v>117</v>
      </c>
      <c r="E16" s="36" t="s">
        <v>184</v>
      </c>
      <c r="F16" s="37">
        <v>5.6</v>
      </c>
      <c r="G16" s="37"/>
      <c r="H16" s="37">
        <f>ROUND(F16*AE16,2)</f>
        <v>0</v>
      </c>
      <c r="I16" s="37">
        <f>J16-H16</f>
        <v>0</v>
      </c>
      <c r="J16" s="37">
        <f>ROUND(F16*G16,2)</f>
        <v>0</v>
      </c>
      <c r="K16" s="37">
        <v>0</v>
      </c>
      <c r="L16" s="42">
        <f>F16*K16</f>
        <v>0</v>
      </c>
      <c r="N16" s="9" t="s">
        <v>7</v>
      </c>
      <c r="O16" s="4">
        <f>IF(N16="5",I16,0)</f>
        <v>0</v>
      </c>
      <c r="Z16" s="4">
        <f>IF(AD16=0,J16,0)</f>
        <v>0</v>
      </c>
      <c r="AA16" s="4">
        <f>IF(AD16=9,J16,0)</f>
        <v>0</v>
      </c>
      <c r="AB16" s="4">
        <f>IF(AD16=19,J16,0)</f>
        <v>0</v>
      </c>
      <c r="AD16" s="4">
        <v>19</v>
      </c>
      <c r="AE16" s="4">
        <f>G16*0</f>
        <v>0</v>
      </c>
      <c r="AF16" s="4">
        <f>G16*(1-0)</f>
        <v>0</v>
      </c>
    </row>
    <row r="17" spans="1:37" ht="12.75">
      <c r="A17" s="39"/>
      <c r="B17" s="32"/>
      <c r="C17" s="33" t="s">
        <v>19</v>
      </c>
      <c r="D17" s="51" t="s">
        <v>118</v>
      </c>
      <c r="E17" s="52"/>
      <c r="F17" s="52"/>
      <c r="G17" s="52"/>
      <c r="H17" s="34">
        <f>SUM(H18:H20)</f>
        <v>0</v>
      </c>
      <c r="I17" s="34">
        <f>SUM(I18:I20)</f>
        <v>0</v>
      </c>
      <c r="J17" s="34">
        <f>H17+I17</f>
        <v>0</v>
      </c>
      <c r="K17" s="35"/>
      <c r="L17" s="40">
        <f>SUM(L18:L20)</f>
        <v>0</v>
      </c>
      <c r="P17" s="10">
        <f>IF(Q17="PR",J17,SUM(O18:O20))</f>
        <v>0</v>
      </c>
      <c r="Q17" s="6" t="s">
        <v>208</v>
      </c>
      <c r="R17" s="10">
        <f>IF(Q17="HS",H17,0)</f>
        <v>0</v>
      </c>
      <c r="S17" s="10">
        <f>IF(Q17="HS",I17-P17,0)</f>
        <v>0</v>
      </c>
      <c r="T17" s="10">
        <f>IF(Q17="PS",H17,0)</f>
        <v>0</v>
      </c>
      <c r="U17" s="10">
        <f>IF(Q17="PS",I17-P17,0)</f>
        <v>0</v>
      </c>
      <c r="V17" s="10">
        <f>IF(Q17="MP",H17,0)</f>
        <v>0</v>
      </c>
      <c r="W17" s="10">
        <f>IF(Q17="MP",I17-P17,0)</f>
        <v>0</v>
      </c>
      <c r="X17" s="10">
        <f>IF(Q17="OM",H17,0)</f>
        <v>0</v>
      </c>
      <c r="Y17" s="6"/>
      <c r="AI17" s="10">
        <f>SUM(Z18:Z20)</f>
        <v>0</v>
      </c>
      <c r="AJ17" s="10">
        <f>SUM(AA18:AA20)</f>
        <v>0</v>
      </c>
      <c r="AK17" s="10">
        <f>SUM(AB18:AB20)</f>
        <v>0</v>
      </c>
    </row>
    <row r="18" spans="1:32" ht="12.75">
      <c r="A18" s="41" t="s">
        <v>10</v>
      </c>
      <c r="B18" s="36"/>
      <c r="C18" s="36" t="s">
        <v>59</v>
      </c>
      <c r="D18" s="36" t="s">
        <v>119</v>
      </c>
      <c r="E18" s="36" t="s">
        <v>184</v>
      </c>
      <c r="F18" s="37">
        <v>174.2</v>
      </c>
      <c r="G18" s="37"/>
      <c r="H18" s="37">
        <f>ROUND(F18*AE18,2)</f>
        <v>0</v>
      </c>
      <c r="I18" s="37">
        <f>J18-H18</f>
        <v>0</v>
      </c>
      <c r="J18" s="37">
        <f>ROUND(F18*G18,2)</f>
        <v>0</v>
      </c>
      <c r="K18" s="37">
        <v>0</v>
      </c>
      <c r="L18" s="42">
        <f>F18*K18</f>
        <v>0</v>
      </c>
      <c r="N18" s="9" t="s">
        <v>7</v>
      </c>
      <c r="O18" s="4">
        <f>IF(N18="5",I18,0)</f>
        <v>0</v>
      </c>
      <c r="Z18" s="4">
        <f>IF(AD18=0,J18,0)</f>
        <v>0</v>
      </c>
      <c r="AA18" s="4">
        <f>IF(AD18=9,J18,0)</f>
        <v>0</v>
      </c>
      <c r="AB18" s="4">
        <f>IF(AD18=19,J18,0)</f>
        <v>0</v>
      </c>
      <c r="AD18" s="4">
        <v>19</v>
      </c>
      <c r="AE18" s="4">
        <f>G18*0</f>
        <v>0</v>
      </c>
      <c r="AF18" s="4">
        <f>G18*(1-0)</f>
        <v>0</v>
      </c>
    </row>
    <row r="19" spans="1:32" ht="12.75">
      <c r="A19" s="41" t="s">
        <v>11</v>
      </c>
      <c r="B19" s="36"/>
      <c r="C19" s="36" t="s">
        <v>60</v>
      </c>
      <c r="D19" s="36" t="s">
        <v>120</v>
      </c>
      <c r="E19" s="36" t="s">
        <v>184</v>
      </c>
      <c r="F19" s="37">
        <v>10.5</v>
      </c>
      <c r="G19" s="37"/>
      <c r="H19" s="37">
        <f>ROUND(F19*AE19,2)</f>
        <v>0</v>
      </c>
      <c r="I19" s="37">
        <f>J19-H19</f>
        <v>0</v>
      </c>
      <c r="J19" s="37">
        <f>ROUND(F19*G19,2)</f>
        <v>0</v>
      </c>
      <c r="K19" s="37">
        <v>0</v>
      </c>
      <c r="L19" s="42">
        <f>F19*K19</f>
        <v>0</v>
      </c>
      <c r="N19" s="9" t="s">
        <v>7</v>
      </c>
      <c r="O19" s="4">
        <f>IF(N19="5",I19,0)</f>
        <v>0</v>
      </c>
      <c r="Z19" s="4">
        <f>IF(AD19=0,J19,0)</f>
        <v>0</v>
      </c>
      <c r="AA19" s="4">
        <f>IF(AD19=9,J19,0)</f>
        <v>0</v>
      </c>
      <c r="AB19" s="4">
        <f>IF(AD19=19,J19,0)</f>
        <v>0</v>
      </c>
      <c r="AD19" s="4">
        <v>19</v>
      </c>
      <c r="AE19" s="4">
        <f>G19*0</f>
        <v>0</v>
      </c>
      <c r="AF19" s="4">
        <f>G19*(1-0)</f>
        <v>0</v>
      </c>
    </row>
    <row r="20" spans="1:32" ht="12.75">
      <c r="A20" s="41" t="s">
        <v>12</v>
      </c>
      <c r="B20" s="36"/>
      <c r="C20" s="36" t="s">
        <v>61</v>
      </c>
      <c r="D20" s="36" t="s">
        <v>121</v>
      </c>
      <c r="E20" s="36" t="s">
        <v>184</v>
      </c>
      <c r="F20" s="37">
        <v>51</v>
      </c>
      <c r="G20" s="37"/>
      <c r="H20" s="37">
        <f>ROUND(F20*AE20,2)</f>
        <v>0</v>
      </c>
      <c r="I20" s="37">
        <f>J20-H20</f>
        <v>0</v>
      </c>
      <c r="J20" s="37">
        <f>ROUND(F20*G20,2)</f>
        <v>0</v>
      </c>
      <c r="K20" s="37">
        <v>0</v>
      </c>
      <c r="L20" s="42">
        <f>F20*K20</f>
        <v>0</v>
      </c>
      <c r="N20" s="9" t="s">
        <v>7</v>
      </c>
      <c r="O20" s="4">
        <f>IF(N20="5",I20,0)</f>
        <v>0</v>
      </c>
      <c r="Z20" s="4">
        <f>IF(AD20=0,J20,0)</f>
        <v>0</v>
      </c>
      <c r="AA20" s="4">
        <f>IF(AD20=9,J20,0)</f>
        <v>0</v>
      </c>
      <c r="AB20" s="4">
        <f>IF(AD20=19,J20,0)</f>
        <v>0</v>
      </c>
      <c r="AD20" s="4">
        <v>19</v>
      </c>
      <c r="AE20" s="4">
        <f>G20*0</f>
        <v>0</v>
      </c>
      <c r="AF20" s="4">
        <f>G20*(1-0)</f>
        <v>0</v>
      </c>
    </row>
    <row r="21" spans="1:37" ht="12.75">
      <c r="A21" s="39"/>
      <c r="B21" s="32"/>
      <c r="C21" s="33" t="s">
        <v>22</v>
      </c>
      <c r="D21" s="51" t="s">
        <v>122</v>
      </c>
      <c r="E21" s="52"/>
      <c r="F21" s="52"/>
      <c r="G21" s="52"/>
      <c r="H21" s="34">
        <f>SUM(H22:H24)</f>
        <v>0</v>
      </c>
      <c r="I21" s="34">
        <f>SUM(I22:I24)</f>
        <v>0</v>
      </c>
      <c r="J21" s="34">
        <f>H21+I21</f>
        <v>0</v>
      </c>
      <c r="K21" s="35"/>
      <c r="L21" s="40">
        <f>SUM(L22:L24)</f>
        <v>0</v>
      </c>
      <c r="P21" s="10">
        <f>IF(Q21="PR",J21,SUM(O22:O24))</f>
        <v>0</v>
      </c>
      <c r="Q21" s="6" t="s">
        <v>208</v>
      </c>
      <c r="R21" s="10">
        <f>IF(Q21="HS",H21,0)</f>
        <v>0</v>
      </c>
      <c r="S21" s="10">
        <f>IF(Q21="HS",I21-P21,0)</f>
        <v>0</v>
      </c>
      <c r="T21" s="10">
        <f>IF(Q21="PS",H21,0)</f>
        <v>0</v>
      </c>
      <c r="U21" s="10">
        <f>IF(Q21="PS",I21-P21,0)</f>
        <v>0</v>
      </c>
      <c r="V21" s="10">
        <f>IF(Q21="MP",H21,0)</f>
        <v>0</v>
      </c>
      <c r="W21" s="10">
        <f>IF(Q21="MP",I21-P21,0)</f>
        <v>0</v>
      </c>
      <c r="X21" s="10">
        <f>IF(Q21="OM",H21,0)</f>
        <v>0</v>
      </c>
      <c r="Y21" s="6"/>
      <c r="AI21" s="10">
        <f>SUM(Z22:Z24)</f>
        <v>0</v>
      </c>
      <c r="AJ21" s="10">
        <f>SUM(AA22:AA24)</f>
        <v>0</v>
      </c>
      <c r="AK21" s="10">
        <f>SUM(AB22:AB24)</f>
        <v>0</v>
      </c>
    </row>
    <row r="22" spans="1:32" ht="12.75">
      <c r="A22" s="41" t="s">
        <v>13</v>
      </c>
      <c r="B22" s="36"/>
      <c r="C22" s="36" t="s">
        <v>62</v>
      </c>
      <c r="D22" s="36" t="s">
        <v>123</v>
      </c>
      <c r="E22" s="36" t="s">
        <v>184</v>
      </c>
      <c r="F22" s="37">
        <v>235.7</v>
      </c>
      <c r="G22" s="37"/>
      <c r="H22" s="37">
        <f>ROUND(F22*AE22,2)</f>
        <v>0</v>
      </c>
      <c r="I22" s="37">
        <f>J22-H22</f>
        <v>0</v>
      </c>
      <c r="J22" s="37">
        <f>ROUND(F22*G22,2)</f>
        <v>0</v>
      </c>
      <c r="K22" s="37">
        <v>0</v>
      </c>
      <c r="L22" s="42">
        <f>F22*K22</f>
        <v>0</v>
      </c>
      <c r="N22" s="9" t="s">
        <v>7</v>
      </c>
      <c r="O22" s="4">
        <f>IF(N22="5",I22,0)</f>
        <v>0</v>
      </c>
      <c r="Z22" s="4">
        <f>IF(AD22=0,J22,0)</f>
        <v>0</v>
      </c>
      <c r="AA22" s="4">
        <f>IF(AD22=9,J22,0)</f>
        <v>0</v>
      </c>
      <c r="AB22" s="4">
        <f>IF(AD22=19,J22,0)</f>
        <v>0</v>
      </c>
      <c r="AD22" s="4">
        <v>19</v>
      </c>
      <c r="AE22" s="4">
        <f>G22*0</f>
        <v>0</v>
      </c>
      <c r="AF22" s="4">
        <f>G22*(1-0)</f>
        <v>0</v>
      </c>
    </row>
    <row r="23" spans="1:32" ht="12.75">
      <c r="A23" s="41" t="s">
        <v>14</v>
      </c>
      <c r="B23" s="36"/>
      <c r="C23" s="36" t="s">
        <v>63</v>
      </c>
      <c r="D23" s="36" t="s">
        <v>124</v>
      </c>
      <c r="E23" s="36" t="s">
        <v>184</v>
      </c>
      <c r="F23" s="37">
        <v>116.5</v>
      </c>
      <c r="G23" s="37"/>
      <c r="H23" s="37">
        <f>ROUND(F23*AE23,2)</f>
        <v>0</v>
      </c>
      <c r="I23" s="37">
        <f>J23-H23</f>
        <v>0</v>
      </c>
      <c r="J23" s="37">
        <f>ROUND(F23*G23,2)</f>
        <v>0</v>
      </c>
      <c r="K23" s="37">
        <v>0</v>
      </c>
      <c r="L23" s="42">
        <f>F23*K23</f>
        <v>0</v>
      </c>
      <c r="N23" s="9" t="s">
        <v>7</v>
      </c>
      <c r="O23" s="4">
        <f>IF(N23="5",I23,0)</f>
        <v>0</v>
      </c>
      <c r="Z23" s="4">
        <f>IF(AD23=0,J23,0)</f>
        <v>0</v>
      </c>
      <c r="AA23" s="4">
        <f>IF(AD23=9,J23,0)</f>
        <v>0</v>
      </c>
      <c r="AB23" s="4">
        <f>IF(AD23=19,J23,0)</f>
        <v>0</v>
      </c>
      <c r="AD23" s="4">
        <v>19</v>
      </c>
      <c r="AE23" s="4">
        <f>G23*0</f>
        <v>0</v>
      </c>
      <c r="AF23" s="4">
        <f>G23*(1-0)</f>
        <v>0</v>
      </c>
    </row>
    <row r="24" spans="1:32" ht="12.75">
      <c r="A24" s="41" t="s">
        <v>15</v>
      </c>
      <c r="B24" s="36"/>
      <c r="C24" s="36" t="s">
        <v>64</v>
      </c>
      <c r="D24" s="36" t="s">
        <v>125</v>
      </c>
      <c r="E24" s="36" t="s">
        <v>184</v>
      </c>
      <c r="F24" s="37">
        <v>116.5</v>
      </c>
      <c r="G24" s="37"/>
      <c r="H24" s="37">
        <f>ROUND(F24*AE24,2)</f>
        <v>0</v>
      </c>
      <c r="I24" s="37">
        <f>J24-H24</f>
        <v>0</v>
      </c>
      <c r="J24" s="37">
        <f>ROUND(F24*G24,2)</f>
        <v>0</v>
      </c>
      <c r="K24" s="37">
        <v>0</v>
      </c>
      <c r="L24" s="42">
        <f>F24*K24</f>
        <v>0</v>
      </c>
      <c r="N24" s="9" t="s">
        <v>7</v>
      </c>
      <c r="O24" s="4">
        <f>IF(N24="5",I24,0)</f>
        <v>0</v>
      </c>
      <c r="Z24" s="4">
        <f>IF(AD24=0,J24,0)</f>
        <v>0</v>
      </c>
      <c r="AA24" s="4">
        <f>IF(AD24=9,J24,0)</f>
        <v>0</v>
      </c>
      <c r="AB24" s="4">
        <f>IF(AD24=19,J24,0)</f>
        <v>0</v>
      </c>
      <c r="AD24" s="4">
        <v>19</v>
      </c>
      <c r="AE24" s="4">
        <f>G24*0</f>
        <v>0</v>
      </c>
      <c r="AF24" s="4">
        <f>G24*(1-0)</f>
        <v>0</v>
      </c>
    </row>
    <row r="25" spans="1:37" ht="12.75">
      <c r="A25" s="39"/>
      <c r="B25" s="32"/>
      <c r="C25" s="33" t="s">
        <v>23</v>
      </c>
      <c r="D25" s="51" t="s">
        <v>126</v>
      </c>
      <c r="E25" s="52"/>
      <c r="F25" s="52"/>
      <c r="G25" s="52"/>
      <c r="H25" s="34">
        <f>SUM(H26:H27)</f>
        <v>0</v>
      </c>
      <c r="I25" s="34">
        <f>SUM(I26:I27)</f>
        <v>0</v>
      </c>
      <c r="J25" s="34">
        <f>H25+I25</f>
        <v>0</v>
      </c>
      <c r="K25" s="35"/>
      <c r="L25" s="40">
        <f>SUM(L26:L27)</f>
        <v>0</v>
      </c>
      <c r="P25" s="10">
        <f>IF(Q25="PR",J25,SUM(O26:O27))</f>
        <v>0</v>
      </c>
      <c r="Q25" s="6" t="s">
        <v>208</v>
      </c>
      <c r="R25" s="10">
        <f>IF(Q25="HS",H25,0)</f>
        <v>0</v>
      </c>
      <c r="S25" s="10">
        <f>IF(Q25="HS",I25-P25,0)</f>
        <v>0</v>
      </c>
      <c r="T25" s="10">
        <f>IF(Q25="PS",H25,0)</f>
        <v>0</v>
      </c>
      <c r="U25" s="10">
        <f>IF(Q25="PS",I25-P25,0)</f>
        <v>0</v>
      </c>
      <c r="V25" s="10">
        <f>IF(Q25="MP",H25,0)</f>
        <v>0</v>
      </c>
      <c r="W25" s="10">
        <f>IF(Q25="MP",I25-P25,0)</f>
        <v>0</v>
      </c>
      <c r="X25" s="10">
        <f>IF(Q25="OM",H25,0)</f>
        <v>0</v>
      </c>
      <c r="Y25" s="6"/>
      <c r="AI25" s="10">
        <f>SUM(Z26:Z27)</f>
        <v>0</v>
      </c>
      <c r="AJ25" s="10">
        <f>SUM(AA26:AA27)</f>
        <v>0</v>
      </c>
      <c r="AK25" s="10">
        <f>SUM(AB26:AB27)</f>
        <v>0</v>
      </c>
    </row>
    <row r="26" spans="1:32" ht="12.75">
      <c r="A26" s="41" t="s">
        <v>16</v>
      </c>
      <c r="B26" s="36"/>
      <c r="C26" s="36" t="s">
        <v>65</v>
      </c>
      <c r="D26" s="36" t="s">
        <v>127</v>
      </c>
      <c r="E26" s="36" t="s">
        <v>184</v>
      </c>
      <c r="F26" s="37">
        <v>116.5</v>
      </c>
      <c r="G26" s="37"/>
      <c r="H26" s="37">
        <f>ROUND(F26*AE26,2)</f>
        <v>0</v>
      </c>
      <c r="I26" s="37">
        <f>J26-H26</f>
        <v>0</v>
      </c>
      <c r="J26" s="37">
        <f>ROUND(F26*G26,2)</f>
        <v>0</v>
      </c>
      <c r="K26" s="37">
        <v>0</v>
      </c>
      <c r="L26" s="42">
        <f>F26*K26</f>
        <v>0</v>
      </c>
      <c r="N26" s="9" t="s">
        <v>7</v>
      </c>
      <c r="O26" s="4">
        <f>IF(N26="5",I26,0)</f>
        <v>0</v>
      </c>
      <c r="Z26" s="4">
        <f>IF(AD26=0,J26,0)</f>
        <v>0</v>
      </c>
      <c r="AA26" s="4">
        <f>IF(AD26=9,J26,0)</f>
        <v>0</v>
      </c>
      <c r="AB26" s="4">
        <f>IF(AD26=19,J26,0)</f>
        <v>0</v>
      </c>
      <c r="AD26" s="4">
        <v>19</v>
      </c>
      <c r="AE26" s="4">
        <f>G26*0</f>
        <v>0</v>
      </c>
      <c r="AF26" s="4">
        <f>G26*(1-0)</f>
        <v>0</v>
      </c>
    </row>
    <row r="27" spans="1:32" ht="12.75">
      <c r="A27" s="41" t="s">
        <v>17</v>
      </c>
      <c r="B27" s="36"/>
      <c r="C27" s="36" t="s">
        <v>66</v>
      </c>
      <c r="D27" s="36" t="s">
        <v>128</v>
      </c>
      <c r="E27" s="36" t="s">
        <v>184</v>
      </c>
      <c r="F27" s="37">
        <v>116.5</v>
      </c>
      <c r="G27" s="37"/>
      <c r="H27" s="37">
        <f>ROUND(F27*AE27,2)</f>
        <v>0</v>
      </c>
      <c r="I27" s="37">
        <f>J27-H27</f>
        <v>0</v>
      </c>
      <c r="J27" s="37">
        <f>ROUND(F27*G27,2)</f>
        <v>0</v>
      </c>
      <c r="K27" s="37">
        <v>0</v>
      </c>
      <c r="L27" s="42">
        <f>F27*K27</f>
        <v>0</v>
      </c>
      <c r="N27" s="9" t="s">
        <v>7</v>
      </c>
      <c r="O27" s="4">
        <f>IF(N27="5",I27,0)</f>
        <v>0</v>
      </c>
      <c r="Z27" s="4">
        <f>IF(AD27=0,J27,0)</f>
        <v>0</v>
      </c>
      <c r="AA27" s="4">
        <f>IF(AD27=9,J27,0)</f>
        <v>0</v>
      </c>
      <c r="AB27" s="4">
        <f>IF(AD27=19,J27,0)</f>
        <v>0</v>
      </c>
      <c r="AD27" s="4">
        <v>19</v>
      </c>
      <c r="AE27" s="4">
        <f>G27*0</f>
        <v>0</v>
      </c>
      <c r="AF27" s="4">
        <f>G27*(1-0)</f>
        <v>0</v>
      </c>
    </row>
    <row r="28" spans="1:37" ht="12.75">
      <c r="A28" s="39"/>
      <c r="B28" s="32"/>
      <c r="C28" s="33" t="s">
        <v>37</v>
      </c>
      <c r="D28" s="51" t="s">
        <v>129</v>
      </c>
      <c r="E28" s="52"/>
      <c r="F28" s="52"/>
      <c r="G28" s="52"/>
      <c r="H28" s="34">
        <f>SUM(H29:H29)</f>
        <v>0</v>
      </c>
      <c r="I28" s="34">
        <f>SUM(I29:I29)</f>
        <v>0</v>
      </c>
      <c r="J28" s="34">
        <f>H28+I28</f>
        <v>0</v>
      </c>
      <c r="K28" s="35"/>
      <c r="L28" s="40">
        <f>SUM(L29:L29)</f>
        <v>1.2355</v>
      </c>
      <c r="P28" s="10">
        <f>IF(Q28="PR",J28,SUM(O29:O29))</f>
        <v>0</v>
      </c>
      <c r="Q28" s="6" t="s">
        <v>208</v>
      </c>
      <c r="R28" s="10">
        <f>IF(Q28="HS",H28,0)</f>
        <v>0</v>
      </c>
      <c r="S28" s="10">
        <f>IF(Q28="HS",I28-P28,0)</f>
        <v>0</v>
      </c>
      <c r="T28" s="10">
        <f>IF(Q28="PS",H28,0)</f>
        <v>0</v>
      </c>
      <c r="U28" s="10">
        <f>IF(Q28="PS",I28-P28,0)</f>
        <v>0</v>
      </c>
      <c r="V28" s="10">
        <f>IF(Q28="MP",H28,0)</f>
        <v>0</v>
      </c>
      <c r="W28" s="10">
        <f>IF(Q28="MP",I28-P28,0)</f>
        <v>0</v>
      </c>
      <c r="X28" s="10">
        <f>IF(Q28="OM",H28,0)</f>
        <v>0</v>
      </c>
      <c r="Y28" s="6"/>
      <c r="AI28" s="10">
        <f>SUM(Z29:Z29)</f>
        <v>0</v>
      </c>
      <c r="AJ28" s="10">
        <f>SUM(AA29:AA29)</f>
        <v>0</v>
      </c>
      <c r="AK28" s="10">
        <f>SUM(AB29:AB29)</f>
        <v>0</v>
      </c>
    </row>
    <row r="29" spans="1:32" ht="12.75">
      <c r="A29" s="41" t="s">
        <v>18</v>
      </c>
      <c r="B29" s="36"/>
      <c r="C29" s="36" t="s">
        <v>67</v>
      </c>
      <c r="D29" s="36" t="s">
        <v>130</v>
      </c>
      <c r="E29" s="36" t="s">
        <v>184</v>
      </c>
      <c r="F29" s="37">
        <v>0.5</v>
      </c>
      <c r="G29" s="37"/>
      <c r="H29" s="37">
        <f>ROUND(F29*AE29,2)</f>
        <v>0</v>
      </c>
      <c r="I29" s="37">
        <f>J29-H29</f>
        <v>0</v>
      </c>
      <c r="J29" s="37">
        <f>ROUND(F29*G29,2)</f>
        <v>0</v>
      </c>
      <c r="K29" s="37">
        <v>2.471</v>
      </c>
      <c r="L29" s="42">
        <f>F29*K29</f>
        <v>1.2355</v>
      </c>
      <c r="N29" s="9" t="s">
        <v>7</v>
      </c>
      <c r="O29" s="4">
        <f>IF(N29="5",I29,0)</f>
        <v>0</v>
      </c>
      <c r="Z29" s="4">
        <f>IF(AD29=0,J29,0)</f>
        <v>0</v>
      </c>
      <c r="AA29" s="4">
        <f>IF(AD29=9,J29,0)</f>
        <v>0</v>
      </c>
      <c r="AB29" s="4">
        <f>IF(AD29=19,J29,0)</f>
        <v>0</v>
      </c>
      <c r="AD29" s="4">
        <v>19</v>
      </c>
      <c r="AE29" s="4">
        <f>G29*0.788769284074159</f>
        <v>0</v>
      </c>
      <c r="AF29" s="4">
        <f>G29*(1-0.788769284074159)</f>
        <v>0</v>
      </c>
    </row>
    <row r="30" spans="1:37" ht="12.75">
      <c r="A30" s="39"/>
      <c r="B30" s="32"/>
      <c r="C30" s="33" t="s">
        <v>38</v>
      </c>
      <c r="D30" s="51" t="s">
        <v>131</v>
      </c>
      <c r="E30" s="52"/>
      <c r="F30" s="52"/>
      <c r="G30" s="52"/>
      <c r="H30" s="34">
        <f>SUM(H31:H37)</f>
        <v>0</v>
      </c>
      <c r="I30" s="34">
        <f>SUM(I31:I37)</f>
        <v>0</v>
      </c>
      <c r="J30" s="34">
        <f>H30+I30</f>
        <v>0</v>
      </c>
      <c r="K30" s="35"/>
      <c r="L30" s="40">
        <f>SUM(L31:L37)</f>
        <v>51.437205000000006</v>
      </c>
      <c r="P30" s="10">
        <f>IF(Q30="PR",J30,SUM(O31:O37))</f>
        <v>0</v>
      </c>
      <c r="Q30" s="6" t="s">
        <v>208</v>
      </c>
      <c r="R30" s="10">
        <f>IF(Q30="HS",H30,0)</f>
        <v>0</v>
      </c>
      <c r="S30" s="10">
        <f>IF(Q30="HS",I30-P30,0)</f>
        <v>0</v>
      </c>
      <c r="T30" s="10">
        <f>IF(Q30="PS",H30,0)</f>
        <v>0</v>
      </c>
      <c r="U30" s="10">
        <f>IF(Q30="PS",I30-P30,0)</f>
        <v>0</v>
      </c>
      <c r="V30" s="10">
        <f>IF(Q30="MP",H30,0)</f>
        <v>0</v>
      </c>
      <c r="W30" s="10">
        <f>IF(Q30="MP",I30-P30,0)</f>
        <v>0</v>
      </c>
      <c r="X30" s="10">
        <f>IF(Q30="OM",H30,0)</f>
        <v>0</v>
      </c>
      <c r="Y30" s="6"/>
      <c r="AI30" s="10">
        <f>SUM(Z31:Z37)</f>
        <v>0</v>
      </c>
      <c r="AJ30" s="10">
        <f>SUM(AA31:AA37)</f>
        <v>0</v>
      </c>
      <c r="AK30" s="10">
        <f>SUM(AB31:AB37)</f>
        <v>0</v>
      </c>
    </row>
    <row r="31" spans="1:32" ht="12.75">
      <c r="A31" s="41" t="s">
        <v>19</v>
      </c>
      <c r="B31" s="36"/>
      <c r="C31" s="36" t="s">
        <v>68</v>
      </c>
      <c r="D31" s="36" t="s">
        <v>132</v>
      </c>
      <c r="E31" s="36" t="s">
        <v>184</v>
      </c>
      <c r="F31" s="37">
        <v>4.7</v>
      </c>
      <c r="G31" s="37"/>
      <c r="H31" s="37">
        <f aca="true" t="shared" si="0" ref="H31:H37">ROUND(F31*AE31,2)</f>
        <v>0</v>
      </c>
      <c r="I31" s="37">
        <f aca="true" t="shared" si="1" ref="I31:I37">J31-H31</f>
        <v>0</v>
      </c>
      <c r="J31" s="37">
        <f aca="true" t="shared" si="2" ref="J31:J37">ROUND(F31*G31,2)</f>
        <v>0</v>
      </c>
      <c r="K31" s="37">
        <v>0</v>
      </c>
      <c r="L31" s="42">
        <f aca="true" t="shared" si="3" ref="L31:L37">F31*K31</f>
        <v>0</v>
      </c>
      <c r="N31" s="9" t="s">
        <v>7</v>
      </c>
      <c r="O31" s="4">
        <f aca="true" t="shared" si="4" ref="O31:O37">IF(N31="5",I31,0)</f>
        <v>0</v>
      </c>
      <c r="Z31" s="4">
        <f aca="true" t="shared" si="5" ref="Z31:Z37">IF(AD31=0,J31,0)</f>
        <v>0</v>
      </c>
      <c r="AA31" s="4">
        <f aca="true" t="shared" si="6" ref="AA31:AA37">IF(AD31=9,J31,0)</f>
        <v>0</v>
      </c>
      <c r="AB31" s="4">
        <f aca="true" t="shared" si="7" ref="AB31:AB37">IF(AD31=19,J31,0)</f>
        <v>0</v>
      </c>
      <c r="AD31" s="4">
        <v>19</v>
      </c>
      <c r="AE31" s="4">
        <f>G31*0</f>
        <v>0</v>
      </c>
      <c r="AF31" s="4">
        <f>G31*(1-0)</f>
        <v>0</v>
      </c>
    </row>
    <row r="32" spans="1:32" ht="12.75">
      <c r="A32" s="41" t="s">
        <v>20</v>
      </c>
      <c r="B32" s="36"/>
      <c r="C32" s="36" t="s">
        <v>69</v>
      </c>
      <c r="D32" s="36" t="s">
        <v>133</v>
      </c>
      <c r="E32" s="36" t="s">
        <v>184</v>
      </c>
      <c r="F32" s="37">
        <v>13.8</v>
      </c>
      <c r="G32" s="37"/>
      <c r="H32" s="37">
        <f t="shared" si="0"/>
        <v>0</v>
      </c>
      <c r="I32" s="37">
        <f t="shared" si="1"/>
        <v>0</v>
      </c>
      <c r="J32" s="37">
        <f t="shared" si="2"/>
        <v>0</v>
      </c>
      <c r="K32" s="37">
        <v>0</v>
      </c>
      <c r="L32" s="42">
        <f t="shared" si="3"/>
        <v>0</v>
      </c>
      <c r="N32" s="9" t="s">
        <v>7</v>
      </c>
      <c r="O32" s="4">
        <f t="shared" si="4"/>
        <v>0</v>
      </c>
      <c r="Z32" s="4">
        <f t="shared" si="5"/>
        <v>0</v>
      </c>
      <c r="AA32" s="4">
        <f t="shared" si="6"/>
        <v>0</v>
      </c>
      <c r="AB32" s="4">
        <f t="shared" si="7"/>
        <v>0</v>
      </c>
      <c r="AD32" s="4">
        <v>19</v>
      </c>
      <c r="AE32" s="4">
        <f>G32*0</f>
        <v>0</v>
      </c>
      <c r="AF32" s="4">
        <f>G32*(1-0)</f>
        <v>0</v>
      </c>
    </row>
    <row r="33" spans="1:32" ht="12.75">
      <c r="A33" s="41" t="s">
        <v>21</v>
      </c>
      <c r="B33" s="36"/>
      <c r="C33" s="36" t="s">
        <v>70</v>
      </c>
      <c r="D33" s="36" t="s">
        <v>134</v>
      </c>
      <c r="E33" s="36" t="s">
        <v>184</v>
      </c>
      <c r="F33" s="37">
        <v>7.65</v>
      </c>
      <c r="G33" s="37"/>
      <c r="H33" s="37">
        <f t="shared" si="0"/>
        <v>0</v>
      </c>
      <c r="I33" s="37">
        <f t="shared" si="1"/>
        <v>0</v>
      </c>
      <c r="J33" s="37">
        <f t="shared" si="2"/>
        <v>0</v>
      </c>
      <c r="K33" s="37">
        <v>2.894</v>
      </c>
      <c r="L33" s="42">
        <f t="shared" si="3"/>
        <v>22.139100000000003</v>
      </c>
      <c r="N33" s="9" t="s">
        <v>7</v>
      </c>
      <c r="O33" s="4">
        <f t="shared" si="4"/>
        <v>0</v>
      </c>
      <c r="Z33" s="4">
        <f t="shared" si="5"/>
        <v>0</v>
      </c>
      <c r="AA33" s="4">
        <f t="shared" si="6"/>
        <v>0</v>
      </c>
      <c r="AB33" s="4">
        <f t="shared" si="7"/>
        <v>0</v>
      </c>
      <c r="AD33" s="4">
        <v>19</v>
      </c>
      <c r="AE33" s="4">
        <f>G33*0.768695504772802</f>
        <v>0</v>
      </c>
      <c r="AF33" s="4">
        <f>G33*(1-0.768695504772802)</f>
        <v>0</v>
      </c>
    </row>
    <row r="34" spans="1:32" ht="12.75">
      <c r="A34" s="41" t="s">
        <v>22</v>
      </c>
      <c r="B34" s="36"/>
      <c r="C34" s="36" t="s">
        <v>71</v>
      </c>
      <c r="D34" s="36" t="s">
        <v>135</v>
      </c>
      <c r="E34" s="36" t="s">
        <v>184</v>
      </c>
      <c r="F34" s="37">
        <v>10.25</v>
      </c>
      <c r="G34" s="37"/>
      <c r="H34" s="37">
        <f t="shared" si="0"/>
        <v>0</v>
      </c>
      <c r="I34" s="37">
        <f t="shared" si="1"/>
        <v>0</v>
      </c>
      <c r="J34" s="37">
        <f t="shared" si="2"/>
        <v>0</v>
      </c>
      <c r="K34" s="37">
        <v>2.817</v>
      </c>
      <c r="L34" s="42">
        <f t="shared" si="3"/>
        <v>28.874250000000004</v>
      </c>
      <c r="N34" s="9" t="s">
        <v>7</v>
      </c>
      <c r="O34" s="4">
        <f t="shared" si="4"/>
        <v>0</v>
      </c>
      <c r="Z34" s="4">
        <f t="shared" si="5"/>
        <v>0</v>
      </c>
      <c r="AA34" s="4">
        <f t="shared" si="6"/>
        <v>0</v>
      </c>
      <c r="AB34" s="4">
        <f t="shared" si="7"/>
        <v>0</v>
      </c>
      <c r="AD34" s="4">
        <v>19</v>
      </c>
      <c r="AE34" s="4">
        <f>G34*0.754932752036746</f>
        <v>0</v>
      </c>
      <c r="AF34" s="4">
        <f>G34*(1-0.754932752036746)</f>
        <v>0</v>
      </c>
    </row>
    <row r="35" spans="1:32" ht="12.75">
      <c r="A35" s="41" t="s">
        <v>23</v>
      </c>
      <c r="B35" s="36"/>
      <c r="C35" s="36" t="s">
        <v>72</v>
      </c>
      <c r="D35" s="36" t="s">
        <v>136</v>
      </c>
      <c r="E35" s="36" t="s">
        <v>185</v>
      </c>
      <c r="F35" s="37">
        <v>24.7</v>
      </c>
      <c r="G35" s="37"/>
      <c r="H35" s="37">
        <f t="shared" si="0"/>
        <v>0</v>
      </c>
      <c r="I35" s="37">
        <f t="shared" si="1"/>
        <v>0</v>
      </c>
      <c r="J35" s="37">
        <f t="shared" si="2"/>
        <v>0</v>
      </c>
      <c r="K35" s="37">
        <v>0.01445</v>
      </c>
      <c r="L35" s="42">
        <f t="shared" si="3"/>
        <v>0.356915</v>
      </c>
      <c r="N35" s="9" t="s">
        <v>7</v>
      </c>
      <c r="O35" s="4">
        <f t="shared" si="4"/>
        <v>0</v>
      </c>
      <c r="Z35" s="4">
        <f t="shared" si="5"/>
        <v>0</v>
      </c>
      <c r="AA35" s="4">
        <f t="shared" si="6"/>
        <v>0</v>
      </c>
      <c r="AB35" s="4">
        <f t="shared" si="7"/>
        <v>0</v>
      </c>
      <c r="AD35" s="4">
        <v>19</v>
      </c>
      <c r="AE35" s="4">
        <f>G35*0.212684822103105</f>
        <v>0</v>
      </c>
      <c r="AF35" s="4">
        <f>G35*(1-0.212684822103105)</f>
        <v>0</v>
      </c>
    </row>
    <row r="36" spans="1:32" ht="12.75">
      <c r="A36" s="41" t="s">
        <v>24</v>
      </c>
      <c r="B36" s="36"/>
      <c r="C36" s="36" t="s">
        <v>73</v>
      </c>
      <c r="D36" s="36" t="s">
        <v>137</v>
      </c>
      <c r="E36" s="36" t="s">
        <v>185</v>
      </c>
      <c r="F36" s="37">
        <v>24.7</v>
      </c>
      <c r="G36" s="37"/>
      <c r="H36" s="37">
        <f t="shared" si="0"/>
        <v>0</v>
      </c>
      <c r="I36" s="37">
        <f t="shared" si="1"/>
        <v>0</v>
      </c>
      <c r="J36" s="37">
        <f t="shared" si="2"/>
        <v>0</v>
      </c>
      <c r="K36" s="37">
        <v>0.001</v>
      </c>
      <c r="L36" s="42">
        <f t="shared" si="3"/>
        <v>0.0247</v>
      </c>
      <c r="N36" s="9" t="s">
        <v>7</v>
      </c>
      <c r="O36" s="4">
        <f t="shared" si="4"/>
        <v>0</v>
      </c>
      <c r="Z36" s="4">
        <f t="shared" si="5"/>
        <v>0</v>
      </c>
      <c r="AA36" s="4">
        <f t="shared" si="6"/>
        <v>0</v>
      </c>
      <c r="AB36" s="4">
        <f t="shared" si="7"/>
        <v>0</v>
      </c>
      <c r="AD36" s="4">
        <v>19</v>
      </c>
      <c r="AE36" s="4">
        <f>G36*0.200361173814898</f>
        <v>0</v>
      </c>
      <c r="AF36" s="4">
        <f>G36*(1-0.200361173814898)</f>
        <v>0</v>
      </c>
    </row>
    <row r="37" spans="1:32" ht="12.75">
      <c r="A37" s="41" t="s">
        <v>25</v>
      </c>
      <c r="B37" s="36"/>
      <c r="C37" s="36" t="s">
        <v>74</v>
      </c>
      <c r="D37" s="36" t="s">
        <v>138</v>
      </c>
      <c r="E37" s="36" t="s">
        <v>186</v>
      </c>
      <c r="F37" s="37">
        <v>0.04</v>
      </c>
      <c r="G37" s="37"/>
      <c r="H37" s="37">
        <f t="shared" si="0"/>
        <v>0</v>
      </c>
      <c r="I37" s="37">
        <f t="shared" si="1"/>
        <v>0</v>
      </c>
      <c r="J37" s="37">
        <f t="shared" si="2"/>
        <v>0</v>
      </c>
      <c r="K37" s="37">
        <v>1.056</v>
      </c>
      <c r="L37" s="42">
        <f t="shared" si="3"/>
        <v>0.04224</v>
      </c>
      <c r="N37" s="9" t="s">
        <v>7</v>
      </c>
      <c r="O37" s="4">
        <f t="shared" si="4"/>
        <v>0</v>
      </c>
      <c r="Z37" s="4">
        <f t="shared" si="5"/>
        <v>0</v>
      </c>
      <c r="AA37" s="4">
        <f t="shared" si="6"/>
        <v>0</v>
      </c>
      <c r="AB37" s="4">
        <f t="shared" si="7"/>
        <v>0</v>
      </c>
      <c r="AD37" s="4">
        <v>19</v>
      </c>
      <c r="AE37" s="4">
        <f>G37*0.817378651685393</f>
        <v>0</v>
      </c>
      <c r="AF37" s="4">
        <f>G37*(1-0.817378651685393)</f>
        <v>0</v>
      </c>
    </row>
    <row r="38" spans="1:37" ht="12.75">
      <c r="A38" s="39"/>
      <c r="B38" s="32"/>
      <c r="C38" s="33" t="s">
        <v>44</v>
      </c>
      <c r="D38" s="51" t="s">
        <v>139</v>
      </c>
      <c r="E38" s="52"/>
      <c r="F38" s="52"/>
      <c r="G38" s="52"/>
      <c r="H38" s="34">
        <f>SUM(H39:H39)</f>
        <v>0</v>
      </c>
      <c r="I38" s="34">
        <f>SUM(I39:I39)</f>
        <v>0</v>
      </c>
      <c r="J38" s="34">
        <f>H38+I38</f>
        <v>0</v>
      </c>
      <c r="K38" s="35"/>
      <c r="L38" s="40">
        <f>SUM(L39:L39)</f>
        <v>2.533</v>
      </c>
      <c r="P38" s="10">
        <f>IF(Q38="PR",J38,SUM(O39:O39))</f>
        <v>0</v>
      </c>
      <c r="Q38" s="6" t="s">
        <v>208</v>
      </c>
      <c r="R38" s="10">
        <f>IF(Q38="HS",H38,0)</f>
        <v>0</v>
      </c>
      <c r="S38" s="10">
        <f>IF(Q38="HS",I38-P38,0)</f>
        <v>0</v>
      </c>
      <c r="T38" s="10">
        <f>IF(Q38="PS",H38,0)</f>
        <v>0</v>
      </c>
      <c r="U38" s="10">
        <f>IF(Q38="PS",I38-P38,0)</f>
        <v>0</v>
      </c>
      <c r="V38" s="10">
        <f>IF(Q38="MP",H38,0)</f>
        <v>0</v>
      </c>
      <c r="W38" s="10">
        <f>IF(Q38="MP",I38-P38,0)</f>
        <v>0</v>
      </c>
      <c r="X38" s="10">
        <f>IF(Q38="OM",H38,0)</f>
        <v>0</v>
      </c>
      <c r="Y38" s="6"/>
      <c r="AI38" s="10">
        <f>SUM(Z39:Z39)</f>
        <v>0</v>
      </c>
      <c r="AJ38" s="10">
        <f>SUM(AA39:AA39)</f>
        <v>0</v>
      </c>
      <c r="AK38" s="10">
        <f>SUM(AB39:AB39)</f>
        <v>0</v>
      </c>
    </row>
    <row r="39" spans="1:32" ht="12.75">
      <c r="A39" s="41" t="s">
        <v>26</v>
      </c>
      <c r="B39" s="36"/>
      <c r="C39" s="36" t="s">
        <v>75</v>
      </c>
      <c r="D39" s="36" t="s">
        <v>140</v>
      </c>
      <c r="E39" s="36" t="s">
        <v>187</v>
      </c>
      <c r="F39" s="37">
        <v>17</v>
      </c>
      <c r="G39" s="37"/>
      <c r="H39" s="37">
        <f>ROUND(F39*AE39,2)</f>
        <v>0</v>
      </c>
      <c r="I39" s="37">
        <f>J39-H39</f>
        <v>0</v>
      </c>
      <c r="J39" s="37">
        <f>ROUND(F39*G39,2)</f>
        <v>0</v>
      </c>
      <c r="K39" s="37">
        <v>0.149</v>
      </c>
      <c r="L39" s="42">
        <f>F39*K39</f>
        <v>2.533</v>
      </c>
      <c r="N39" s="9" t="s">
        <v>7</v>
      </c>
      <c r="O39" s="4">
        <f>IF(N39="5",I39,0)</f>
        <v>0</v>
      </c>
      <c r="Z39" s="4">
        <f>IF(AD39=0,J39,0)</f>
        <v>0</v>
      </c>
      <c r="AA39" s="4">
        <f>IF(AD39=9,J39,0)</f>
        <v>0</v>
      </c>
      <c r="AB39" s="4">
        <f>IF(AD39=19,J39,0)</f>
        <v>0</v>
      </c>
      <c r="AD39" s="4">
        <v>19</v>
      </c>
      <c r="AE39" s="4">
        <f>G39*0.271380060662007</f>
        <v>0</v>
      </c>
      <c r="AF39" s="4">
        <f>G39*(1-0.271380060662007)</f>
        <v>0</v>
      </c>
    </row>
    <row r="40" spans="1:37" ht="12.75">
      <c r="A40" s="39"/>
      <c r="B40" s="32"/>
      <c r="C40" s="33" t="s">
        <v>51</v>
      </c>
      <c r="D40" s="51" t="s">
        <v>141</v>
      </c>
      <c r="E40" s="52"/>
      <c r="F40" s="52"/>
      <c r="G40" s="52"/>
      <c r="H40" s="34">
        <f>SUM(H41:H46)</f>
        <v>0</v>
      </c>
      <c r="I40" s="34">
        <f>SUM(I41:I46)</f>
        <v>0</v>
      </c>
      <c r="J40" s="34">
        <f>H40+I40</f>
        <v>0</v>
      </c>
      <c r="K40" s="35"/>
      <c r="L40" s="40">
        <f>SUM(L41:L46)</f>
        <v>112.405712</v>
      </c>
      <c r="P40" s="10">
        <f>IF(Q40="PR",J40,SUM(O41:O46))</f>
        <v>0</v>
      </c>
      <c r="Q40" s="6" t="s">
        <v>208</v>
      </c>
      <c r="R40" s="10">
        <f>IF(Q40="HS",H40,0)</f>
        <v>0</v>
      </c>
      <c r="S40" s="10">
        <f>IF(Q40="HS",I40-P40,0)</f>
        <v>0</v>
      </c>
      <c r="T40" s="10">
        <f>IF(Q40="PS",H40,0)</f>
        <v>0</v>
      </c>
      <c r="U40" s="10">
        <f>IF(Q40="PS",I40-P40,0)</f>
        <v>0</v>
      </c>
      <c r="V40" s="10">
        <f>IF(Q40="MP",H40,0)</f>
        <v>0</v>
      </c>
      <c r="W40" s="10">
        <f>IF(Q40="MP",I40-P40,0)</f>
        <v>0</v>
      </c>
      <c r="X40" s="10">
        <f>IF(Q40="OM",H40,0)</f>
        <v>0</v>
      </c>
      <c r="Y40" s="6"/>
      <c r="AI40" s="10">
        <f>SUM(Z41:Z46)</f>
        <v>0</v>
      </c>
      <c r="AJ40" s="10">
        <f>SUM(AA41:AA46)</f>
        <v>0</v>
      </c>
      <c r="AK40" s="10">
        <f>SUM(AB41:AB46)</f>
        <v>0</v>
      </c>
    </row>
    <row r="41" spans="1:32" ht="12.75">
      <c r="A41" s="41" t="s">
        <v>27</v>
      </c>
      <c r="B41" s="36"/>
      <c r="C41" s="36" t="s">
        <v>76</v>
      </c>
      <c r="D41" s="36" t="s">
        <v>142</v>
      </c>
      <c r="E41" s="36" t="s">
        <v>184</v>
      </c>
      <c r="F41" s="37">
        <v>0.7</v>
      </c>
      <c r="G41" s="37"/>
      <c r="H41" s="37">
        <f aca="true" t="shared" si="8" ref="H41:H46">ROUND(F41*AE41,2)</f>
        <v>0</v>
      </c>
      <c r="I41" s="37">
        <f aca="true" t="shared" si="9" ref="I41:I46">J41-H41</f>
        <v>0</v>
      </c>
      <c r="J41" s="37">
        <f aca="true" t="shared" si="10" ref="J41:J46">ROUND(F41*G41,2)</f>
        <v>0</v>
      </c>
      <c r="K41" s="37">
        <v>1.891</v>
      </c>
      <c r="L41" s="42">
        <f aca="true" t="shared" si="11" ref="L41:L46">F41*K41</f>
        <v>1.3236999999999999</v>
      </c>
      <c r="N41" s="9" t="s">
        <v>7</v>
      </c>
      <c r="O41" s="4">
        <f aca="true" t="shared" si="12" ref="O41:O46">IF(N41="5",I41,0)</f>
        <v>0</v>
      </c>
      <c r="Z41" s="4">
        <f aca="true" t="shared" si="13" ref="Z41:Z46">IF(AD41=0,J41,0)</f>
        <v>0</v>
      </c>
      <c r="AA41" s="4">
        <f aca="true" t="shared" si="14" ref="AA41:AA46">IF(AD41=9,J41,0)</f>
        <v>0</v>
      </c>
      <c r="AB41" s="4">
        <f aca="true" t="shared" si="15" ref="AB41:AB46">IF(AD41=19,J41,0)</f>
        <v>0</v>
      </c>
      <c r="AD41" s="4">
        <v>19</v>
      </c>
      <c r="AE41" s="4">
        <f>G41*0.665948432142376</f>
        <v>0</v>
      </c>
      <c r="AF41" s="4">
        <f>G41*(1-0.665948432142376)</f>
        <v>0</v>
      </c>
    </row>
    <row r="42" spans="1:32" ht="12.75">
      <c r="A42" s="41" t="s">
        <v>28</v>
      </c>
      <c r="B42" s="36"/>
      <c r="C42" s="36" t="s">
        <v>77</v>
      </c>
      <c r="D42" s="36" t="s">
        <v>143</v>
      </c>
      <c r="E42" s="36" t="s">
        <v>184</v>
      </c>
      <c r="F42" s="37">
        <v>1.63</v>
      </c>
      <c r="G42" s="37"/>
      <c r="H42" s="37">
        <f t="shared" si="8"/>
        <v>0</v>
      </c>
      <c r="I42" s="37">
        <f t="shared" si="9"/>
        <v>0</v>
      </c>
      <c r="J42" s="37">
        <f t="shared" si="10"/>
        <v>0</v>
      </c>
      <c r="K42" s="37">
        <v>2.422</v>
      </c>
      <c r="L42" s="42">
        <f t="shared" si="11"/>
        <v>3.94786</v>
      </c>
      <c r="N42" s="9" t="s">
        <v>7</v>
      </c>
      <c r="O42" s="4">
        <f t="shared" si="12"/>
        <v>0</v>
      </c>
      <c r="Z42" s="4">
        <f t="shared" si="13"/>
        <v>0</v>
      </c>
      <c r="AA42" s="4">
        <f t="shared" si="14"/>
        <v>0</v>
      </c>
      <c r="AB42" s="4">
        <f t="shared" si="15"/>
        <v>0</v>
      </c>
      <c r="AD42" s="4">
        <v>19</v>
      </c>
      <c r="AE42" s="4">
        <f>G42*0.753101086025744</f>
        <v>0</v>
      </c>
      <c r="AF42" s="4">
        <f>G42*(1-0.753101086025744)</f>
        <v>0</v>
      </c>
    </row>
    <row r="43" spans="1:32" ht="12.75">
      <c r="A43" s="41" t="s">
        <v>29</v>
      </c>
      <c r="B43" s="36"/>
      <c r="C43" s="36" t="s">
        <v>78</v>
      </c>
      <c r="D43" s="36" t="s">
        <v>144</v>
      </c>
      <c r="E43" s="36" t="s">
        <v>185</v>
      </c>
      <c r="F43" s="37">
        <v>40.8</v>
      </c>
      <c r="G43" s="37"/>
      <c r="H43" s="37">
        <f t="shared" si="8"/>
        <v>0</v>
      </c>
      <c r="I43" s="37">
        <f t="shared" si="9"/>
        <v>0</v>
      </c>
      <c r="J43" s="37">
        <f t="shared" si="10"/>
        <v>0</v>
      </c>
      <c r="K43" s="37">
        <v>0.15669</v>
      </c>
      <c r="L43" s="42">
        <f t="shared" si="11"/>
        <v>6.392951999999999</v>
      </c>
      <c r="N43" s="9" t="s">
        <v>7</v>
      </c>
      <c r="O43" s="4">
        <f t="shared" si="12"/>
        <v>0</v>
      </c>
      <c r="Z43" s="4">
        <f t="shared" si="13"/>
        <v>0</v>
      </c>
      <c r="AA43" s="4">
        <f t="shared" si="14"/>
        <v>0</v>
      </c>
      <c r="AB43" s="4">
        <f t="shared" si="15"/>
        <v>0</v>
      </c>
      <c r="AD43" s="4">
        <v>19</v>
      </c>
      <c r="AE43" s="4">
        <f>G43*0</f>
        <v>0</v>
      </c>
      <c r="AF43" s="4">
        <f>G43*(1-0)</f>
        <v>0</v>
      </c>
    </row>
    <row r="44" spans="1:32" ht="12.75">
      <c r="A44" s="41" t="s">
        <v>30</v>
      </c>
      <c r="B44" s="36"/>
      <c r="C44" s="36" t="s">
        <v>79</v>
      </c>
      <c r="D44" s="36" t="s">
        <v>145</v>
      </c>
      <c r="E44" s="36" t="s">
        <v>184</v>
      </c>
      <c r="F44" s="37">
        <v>10.6</v>
      </c>
      <c r="G44" s="37"/>
      <c r="H44" s="37">
        <f t="shared" si="8"/>
        <v>0</v>
      </c>
      <c r="I44" s="37">
        <f t="shared" si="9"/>
        <v>0</v>
      </c>
      <c r="J44" s="37">
        <f t="shared" si="10"/>
        <v>0</v>
      </c>
      <c r="K44" s="37">
        <v>2.834</v>
      </c>
      <c r="L44" s="42">
        <f t="shared" si="11"/>
        <v>30.040399999999998</v>
      </c>
      <c r="N44" s="9" t="s">
        <v>7</v>
      </c>
      <c r="O44" s="4">
        <f t="shared" si="12"/>
        <v>0</v>
      </c>
      <c r="Z44" s="4">
        <f t="shared" si="13"/>
        <v>0</v>
      </c>
      <c r="AA44" s="4">
        <f t="shared" si="14"/>
        <v>0</v>
      </c>
      <c r="AB44" s="4">
        <f t="shared" si="15"/>
        <v>0</v>
      </c>
      <c r="AD44" s="4">
        <v>19</v>
      </c>
      <c r="AE44" s="4">
        <f>G44*0.632878085130986</f>
        <v>0</v>
      </c>
      <c r="AF44" s="4">
        <f>G44*(1-0.632878085130986)</f>
        <v>0</v>
      </c>
    </row>
    <row r="45" spans="1:32" ht="12.75">
      <c r="A45" s="41" t="s">
        <v>31</v>
      </c>
      <c r="B45" s="36"/>
      <c r="C45" s="36" t="s">
        <v>80</v>
      </c>
      <c r="D45" s="36" t="s">
        <v>146</v>
      </c>
      <c r="E45" s="36" t="s">
        <v>185</v>
      </c>
      <c r="F45" s="37">
        <v>129.8</v>
      </c>
      <c r="G45" s="37"/>
      <c r="H45" s="37">
        <f t="shared" si="8"/>
        <v>0</v>
      </c>
      <c r="I45" s="37">
        <f t="shared" si="9"/>
        <v>0</v>
      </c>
      <c r="J45" s="37">
        <f t="shared" si="10"/>
        <v>0</v>
      </c>
      <c r="K45" s="37">
        <v>0.248</v>
      </c>
      <c r="L45" s="42">
        <f t="shared" si="11"/>
        <v>32.190400000000004</v>
      </c>
      <c r="N45" s="9" t="s">
        <v>7</v>
      </c>
      <c r="O45" s="4">
        <f t="shared" si="12"/>
        <v>0</v>
      </c>
      <c r="Z45" s="4">
        <f t="shared" si="13"/>
        <v>0</v>
      </c>
      <c r="AA45" s="4">
        <f t="shared" si="14"/>
        <v>0</v>
      </c>
      <c r="AB45" s="4">
        <f t="shared" si="15"/>
        <v>0</v>
      </c>
      <c r="AD45" s="4">
        <v>19</v>
      </c>
      <c r="AE45" s="4">
        <f>G45*0.820347003154574</f>
        <v>0</v>
      </c>
      <c r="AF45" s="4">
        <f>G45*(1-0.820347003154574)</f>
        <v>0</v>
      </c>
    </row>
    <row r="46" spans="1:32" ht="12.75">
      <c r="A46" s="41" t="s">
        <v>32</v>
      </c>
      <c r="B46" s="36"/>
      <c r="C46" s="36" t="s">
        <v>81</v>
      </c>
      <c r="D46" s="36" t="s">
        <v>147</v>
      </c>
      <c r="E46" s="36" t="s">
        <v>185</v>
      </c>
      <c r="F46" s="37">
        <v>180.8</v>
      </c>
      <c r="G46" s="37"/>
      <c r="H46" s="37">
        <f t="shared" si="8"/>
        <v>0</v>
      </c>
      <c r="I46" s="37">
        <f t="shared" si="9"/>
        <v>0</v>
      </c>
      <c r="J46" s="37">
        <f t="shared" si="10"/>
        <v>0</v>
      </c>
      <c r="K46" s="37">
        <v>0.213</v>
      </c>
      <c r="L46" s="42">
        <f t="shared" si="11"/>
        <v>38.510400000000004</v>
      </c>
      <c r="N46" s="9" t="s">
        <v>7</v>
      </c>
      <c r="O46" s="4">
        <f t="shared" si="12"/>
        <v>0</v>
      </c>
      <c r="Z46" s="4">
        <f t="shared" si="13"/>
        <v>0</v>
      </c>
      <c r="AA46" s="4">
        <f t="shared" si="14"/>
        <v>0</v>
      </c>
      <c r="AB46" s="4">
        <f t="shared" si="15"/>
        <v>0</v>
      </c>
      <c r="AD46" s="4">
        <v>19</v>
      </c>
      <c r="AE46" s="4">
        <f>G46*0.572341396622547</f>
        <v>0</v>
      </c>
      <c r="AF46" s="4">
        <f>G46*(1-0.572341396622547)</f>
        <v>0</v>
      </c>
    </row>
    <row r="47" spans="1:37" ht="12.75">
      <c r="A47" s="39"/>
      <c r="B47" s="32"/>
      <c r="C47" s="33" t="s">
        <v>52</v>
      </c>
      <c r="D47" s="51" t="s">
        <v>148</v>
      </c>
      <c r="E47" s="52"/>
      <c r="F47" s="52"/>
      <c r="G47" s="52"/>
      <c r="H47" s="34">
        <f>SUM(H48:H49)</f>
        <v>0</v>
      </c>
      <c r="I47" s="34">
        <f>SUM(I48:I49)</f>
        <v>0</v>
      </c>
      <c r="J47" s="34">
        <f>H47+I47</f>
        <v>0</v>
      </c>
      <c r="K47" s="35"/>
      <c r="L47" s="40">
        <f>SUM(L48:L49)</f>
        <v>136.4242</v>
      </c>
      <c r="P47" s="10">
        <f>IF(Q47="PR",J47,SUM(O48:O49))</f>
        <v>0</v>
      </c>
      <c r="Q47" s="6" t="s">
        <v>208</v>
      </c>
      <c r="R47" s="10">
        <f>IF(Q47="HS",H47,0)</f>
        <v>0</v>
      </c>
      <c r="S47" s="10">
        <f>IF(Q47="HS",I47-P47,0)</f>
        <v>0</v>
      </c>
      <c r="T47" s="10">
        <f>IF(Q47="PS",H47,0)</f>
        <v>0</v>
      </c>
      <c r="U47" s="10">
        <f>IF(Q47="PS",I47-P47,0)</f>
        <v>0</v>
      </c>
      <c r="V47" s="10">
        <f>IF(Q47="MP",H47,0)</f>
        <v>0</v>
      </c>
      <c r="W47" s="10">
        <f>IF(Q47="MP",I47-P47,0)</f>
        <v>0</v>
      </c>
      <c r="X47" s="10">
        <f>IF(Q47="OM",H47,0)</f>
        <v>0</v>
      </c>
      <c r="Y47" s="6"/>
      <c r="AI47" s="10">
        <f>SUM(Z48:Z49)</f>
        <v>0</v>
      </c>
      <c r="AJ47" s="10">
        <f>SUM(AA48:AA49)</f>
        <v>0</v>
      </c>
      <c r="AK47" s="10">
        <f>SUM(AB48:AB49)</f>
        <v>0</v>
      </c>
    </row>
    <row r="48" spans="1:32" ht="12.75">
      <c r="A48" s="41" t="s">
        <v>33</v>
      </c>
      <c r="B48" s="36"/>
      <c r="C48" s="36" t="s">
        <v>82</v>
      </c>
      <c r="D48" s="36" t="s">
        <v>149</v>
      </c>
      <c r="E48" s="36" t="s">
        <v>185</v>
      </c>
      <c r="F48" s="37">
        <v>129.8</v>
      </c>
      <c r="G48" s="37"/>
      <c r="H48" s="37">
        <f>ROUND(F48*AE48,2)</f>
        <v>0</v>
      </c>
      <c r="I48" s="37">
        <f>J48-H48</f>
        <v>0</v>
      </c>
      <c r="J48" s="37">
        <f>ROUND(F48*G48,2)</f>
        <v>0</v>
      </c>
      <c r="K48" s="37">
        <v>0.824</v>
      </c>
      <c r="L48" s="42">
        <f>F48*K48</f>
        <v>106.9552</v>
      </c>
      <c r="N48" s="9" t="s">
        <v>7</v>
      </c>
      <c r="O48" s="4">
        <f>IF(N48="5",I48,0)</f>
        <v>0</v>
      </c>
      <c r="Z48" s="4">
        <f>IF(AD48=0,J48,0)</f>
        <v>0</v>
      </c>
      <c r="AA48" s="4">
        <f>IF(AD48=9,J48,0)</f>
        <v>0</v>
      </c>
      <c r="AB48" s="4">
        <f>IF(AD48=19,J48,0)</f>
        <v>0</v>
      </c>
      <c r="AD48" s="4">
        <v>19</v>
      </c>
      <c r="AE48" s="4">
        <f>G48*0.708114526541125</f>
        <v>0</v>
      </c>
      <c r="AF48" s="4">
        <f>G48*(1-0.708114526541125)</f>
        <v>0</v>
      </c>
    </row>
    <row r="49" spans="1:32" ht="12.75">
      <c r="A49" s="41" t="s">
        <v>34</v>
      </c>
      <c r="B49" s="36"/>
      <c r="C49" s="36" t="s">
        <v>83</v>
      </c>
      <c r="D49" s="36" t="s">
        <v>150</v>
      </c>
      <c r="E49" s="36" t="s">
        <v>185</v>
      </c>
      <c r="F49" s="37">
        <v>57</v>
      </c>
      <c r="G49" s="37"/>
      <c r="H49" s="37">
        <f>ROUND(F49*AE49,2)</f>
        <v>0</v>
      </c>
      <c r="I49" s="37">
        <f>J49-H49</f>
        <v>0</v>
      </c>
      <c r="J49" s="37">
        <f>ROUND(F49*G49,2)</f>
        <v>0</v>
      </c>
      <c r="K49" s="37">
        <v>0.517</v>
      </c>
      <c r="L49" s="42">
        <f>F49*K49</f>
        <v>29.469</v>
      </c>
      <c r="N49" s="9" t="s">
        <v>7</v>
      </c>
      <c r="O49" s="4">
        <f>IF(N49="5",I49,0)</f>
        <v>0</v>
      </c>
      <c r="Z49" s="4">
        <f>IF(AD49=0,J49,0)</f>
        <v>0</v>
      </c>
      <c r="AA49" s="4">
        <f>IF(AD49=9,J49,0)</f>
        <v>0</v>
      </c>
      <c r="AB49" s="4">
        <f>IF(AD49=19,J49,0)</f>
        <v>0</v>
      </c>
      <c r="AD49" s="4">
        <v>19</v>
      </c>
      <c r="AE49" s="4">
        <f>G49*0.628648628077787</f>
        <v>0</v>
      </c>
      <c r="AF49" s="4">
        <f>G49*(1-0.628648628077787)</f>
        <v>0</v>
      </c>
    </row>
    <row r="50" spans="1:37" ht="12.75">
      <c r="A50" s="39"/>
      <c r="B50" s="32"/>
      <c r="C50" s="33" t="s">
        <v>84</v>
      </c>
      <c r="D50" s="51" t="s">
        <v>151</v>
      </c>
      <c r="E50" s="52"/>
      <c r="F50" s="52"/>
      <c r="G50" s="52"/>
      <c r="H50" s="34">
        <f>SUM(H51:H52)</f>
        <v>0</v>
      </c>
      <c r="I50" s="34">
        <f>SUM(I51:I52)</f>
        <v>0</v>
      </c>
      <c r="J50" s="34">
        <f>H50+I50</f>
        <v>0</v>
      </c>
      <c r="K50" s="35"/>
      <c r="L50" s="40">
        <f>SUM(L51:L52)</f>
        <v>0.031008</v>
      </c>
      <c r="P50" s="10">
        <f>IF(Q50="PR",J50,SUM(O51:O52))</f>
        <v>0</v>
      </c>
      <c r="Q50" s="6" t="s">
        <v>209</v>
      </c>
      <c r="R50" s="10">
        <f>IF(Q50="HS",H50,0)</f>
        <v>0</v>
      </c>
      <c r="S50" s="10">
        <f>IF(Q50="HS",I50-P50,0)</f>
        <v>0</v>
      </c>
      <c r="T50" s="10">
        <f>IF(Q50="PS",H50,0)</f>
        <v>0</v>
      </c>
      <c r="U50" s="10">
        <f>IF(Q50="PS",I50-P50,0)</f>
        <v>0</v>
      </c>
      <c r="V50" s="10">
        <f>IF(Q50="MP",H50,0)</f>
        <v>0</v>
      </c>
      <c r="W50" s="10">
        <f>IF(Q50="MP",I50-P50,0)</f>
        <v>0</v>
      </c>
      <c r="X50" s="10">
        <f>IF(Q50="OM",H50,0)</f>
        <v>0</v>
      </c>
      <c r="Y50" s="6"/>
      <c r="AI50" s="10">
        <f>SUM(Z51:Z52)</f>
        <v>0</v>
      </c>
      <c r="AJ50" s="10">
        <f>SUM(AA51:AA52)</f>
        <v>0</v>
      </c>
      <c r="AK50" s="10">
        <f>SUM(AB51:AB52)</f>
        <v>0</v>
      </c>
    </row>
    <row r="51" spans="1:32" ht="12.75">
      <c r="A51" s="41" t="s">
        <v>35</v>
      </c>
      <c r="B51" s="36"/>
      <c r="C51" s="36" t="s">
        <v>85</v>
      </c>
      <c r="D51" s="36" t="s">
        <v>152</v>
      </c>
      <c r="E51" s="36" t="s">
        <v>185</v>
      </c>
      <c r="F51" s="37">
        <v>40.8</v>
      </c>
      <c r="G51" s="37"/>
      <c r="H51" s="37">
        <f>ROUND(F51*AE51,2)</f>
        <v>0</v>
      </c>
      <c r="I51" s="37">
        <f>J51-H51</f>
        <v>0</v>
      </c>
      <c r="J51" s="37">
        <f>ROUND(F51*G51,2)</f>
        <v>0</v>
      </c>
      <c r="K51" s="37">
        <v>0.0002</v>
      </c>
      <c r="L51" s="42">
        <f>F51*K51</f>
        <v>0.00816</v>
      </c>
      <c r="N51" s="9" t="s">
        <v>7</v>
      </c>
      <c r="O51" s="4">
        <f>IF(N51="5",I51,0)</f>
        <v>0</v>
      </c>
      <c r="Z51" s="4">
        <f>IF(AD51=0,J51,0)</f>
        <v>0</v>
      </c>
      <c r="AA51" s="4">
        <f>IF(AD51=9,J51,0)</f>
        <v>0</v>
      </c>
      <c r="AB51" s="4">
        <f>IF(AD51=19,J51,0)</f>
        <v>0</v>
      </c>
      <c r="AD51" s="4">
        <v>19</v>
      </c>
      <c r="AE51" s="4">
        <f>G51*0.413584905660377</f>
        <v>0</v>
      </c>
      <c r="AF51" s="4">
        <f>G51*(1-0.413584905660377)</f>
        <v>0</v>
      </c>
    </row>
    <row r="52" spans="1:32" ht="12.75">
      <c r="A52" s="41" t="s">
        <v>36</v>
      </c>
      <c r="B52" s="36"/>
      <c r="C52" s="36" t="s">
        <v>86</v>
      </c>
      <c r="D52" s="36" t="s">
        <v>153</v>
      </c>
      <c r="E52" s="36" t="s">
        <v>185</v>
      </c>
      <c r="F52" s="37">
        <v>54.4</v>
      </c>
      <c r="G52" s="37"/>
      <c r="H52" s="37">
        <f>ROUND(F52*AE52,2)</f>
        <v>0</v>
      </c>
      <c r="I52" s="37">
        <f>J52-H52</f>
        <v>0</v>
      </c>
      <c r="J52" s="37">
        <f>ROUND(F52*G52,2)</f>
        <v>0</v>
      </c>
      <c r="K52" s="37">
        <v>0.00042</v>
      </c>
      <c r="L52" s="42">
        <f>F52*K52</f>
        <v>0.022848</v>
      </c>
      <c r="N52" s="9" t="s">
        <v>7</v>
      </c>
      <c r="O52" s="4">
        <f>IF(N52="5",I52,0)</f>
        <v>0</v>
      </c>
      <c r="Z52" s="4">
        <f>IF(AD52=0,J52,0)</f>
        <v>0</v>
      </c>
      <c r="AA52" s="4">
        <f>IF(AD52=9,J52,0)</f>
        <v>0</v>
      </c>
      <c r="AB52" s="4">
        <f>IF(AD52=19,J52,0)</f>
        <v>0</v>
      </c>
      <c r="AD52" s="4">
        <v>19</v>
      </c>
      <c r="AE52" s="4">
        <f>G52*0.436659877800407</f>
        <v>0</v>
      </c>
      <c r="AF52" s="4">
        <f>G52*(1-0.436659877800407)</f>
        <v>0</v>
      </c>
    </row>
    <row r="53" spans="1:37" ht="12.75">
      <c r="A53" s="39"/>
      <c r="B53" s="32"/>
      <c r="C53" s="33" t="s">
        <v>87</v>
      </c>
      <c r="D53" s="51" t="s">
        <v>154</v>
      </c>
      <c r="E53" s="52"/>
      <c r="F53" s="52"/>
      <c r="G53" s="52"/>
      <c r="H53" s="34">
        <f>SUM(H54:H55)</f>
        <v>0</v>
      </c>
      <c r="I53" s="34">
        <f>SUM(I54:I55)</f>
        <v>0</v>
      </c>
      <c r="J53" s="34">
        <f>H53+I53</f>
        <v>0</v>
      </c>
      <c r="K53" s="35"/>
      <c r="L53" s="40">
        <f>SUM(L54:L55)</f>
        <v>0.00495</v>
      </c>
      <c r="P53" s="10">
        <f>IF(Q53="PR",J53,SUM(O54:O55))</f>
        <v>0</v>
      </c>
      <c r="Q53" s="6" t="s">
        <v>209</v>
      </c>
      <c r="R53" s="10">
        <f>IF(Q53="HS",H53,0)</f>
        <v>0</v>
      </c>
      <c r="S53" s="10">
        <f>IF(Q53="HS",I53-P53,0)</f>
        <v>0</v>
      </c>
      <c r="T53" s="10">
        <f>IF(Q53="PS",H53,0)</f>
        <v>0</v>
      </c>
      <c r="U53" s="10">
        <f>IF(Q53="PS",I53-P53,0)</f>
        <v>0</v>
      </c>
      <c r="V53" s="10">
        <f>IF(Q53="MP",H53,0)</f>
        <v>0</v>
      </c>
      <c r="W53" s="10">
        <f>IF(Q53="MP",I53-P53,0)</f>
        <v>0</v>
      </c>
      <c r="X53" s="10">
        <f>IF(Q53="OM",H53,0)</f>
        <v>0</v>
      </c>
      <c r="Y53" s="6"/>
      <c r="AI53" s="10">
        <f>SUM(Z54:Z55)</f>
        <v>0</v>
      </c>
      <c r="AJ53" s="10">
        <f>SUM(AA54:AA55)</f>
        <v>0</v>
      </c>
      <c r="AK53" s="10">
        <f>SUM(AB54:AB55)</f>
        <v>0</v>
      </c>
    </row>
    <row r="54" spans="1:32" ht="12.75">
      <c r="A54" s="41" t="s">
        <v>37</v>
      </c>
      <c r="B54" s="36"/>
      <c r="C54" s="36" t="s">
        <v>88</v>
      </c>
      <c r="D54" s="36" t="s">
        <v>155</v>
      </c>
      <c r="E54" s="36" t="s">
        <v>185</v>
      </c>
      <c r="F54" s="37">
        <v>5</v>
      </c>
      <c r="G54" s="37"/>
      <c r="H54" s="37">
        <f>ROUND(F54*AE54,2)</f>
        <v>0</v>
      </c>
      <c r="I54" s="37">
        <f>J54-H54</f>
        <v>0</v>
      </c>
      <c r="J54" s="37">
        <f>ROUND(F54*G54,2)</f>
        <v>0</v>
      </c>
      <c r="K54" s="37">
        <v>0.00036</v>
      </c>
      <c r="L54" s="42">
        <f>F54*K54</f>
        <v>0.0018000000000000002</v>
      </c>
      <c r="N54" s="9" t="s">
        <v>7</v>
      </c>
      <c r="O54" s="4">
        <f>IF(N54="5",I54,0)</f>
        <v>0</v>
      </c>
      <c r="Z54" s="4">
        <f>IF(AD54=0,J54,0)</f>
        <v>0</v>
      </c>
      <c r="AA54" s="4">
        <f>IF(AD54=9,J54,0)</f>
        <v>0</v>
      </c>
      <c r="AB54" s="4">
        <f>IF(AD54=19,J54,0)</f>
        <v>0</v>
      </c>
      <c r="AD54" s="4">
        <v>19</v>
      </c>
      <c r="AE54" s="4">
        <f>G54*0.196044937914723</f>
        <v>0</v>
      </c>
      <c r="AF54" s="4">
        <f>G54*(1-0.196044937914723)</f>
        <v>0</v>
      </c>
    </row>
    <row r="55" spans="1:32" ht="12.75">
      <c r="A55" s="41" t="s">
        <v>38</v>
      </c>
      <c r="B55" s="36"/>
      <c r="C55" s="36" t="s">
        <v>89</v>
      </c>
      <c r="D55" s="36" t="s">
        <v>156</v>
      </c>
      <c r="E55" s="36" t="s">
        <v>182</v>
      </c>
      <c r="F55" s="37">
        <v>35</v>
      </c>
      <c r="G55" s="37"/>
      <c r="H55" s="37">
        <f>ROUND(F55*AE55,2)</f>
        <v>0</v>
      </c>
      <c r="I55" s="37">
        <f>J55-H55</f>
        <v>0</v>
      </c>
      <c r="J55" s="37">
        <f>ROUND(F55*G55,2)</f>
        <v>0</v>
      </c>
      <c r="K55" s="37">
        <v>9E-05</v>
      </c>
      <c r="L55" s="42">
        <f>F55*K55</f>
        <v>0.00315</v>
      </c>
      <c r="N55" s="9" t="s">
        <v>7</v>
      </c>
      <c r="O55" s="4">
        <f>IF(N55="5",I55,0)</f>
        <v>0</v>
      </c>
      <c r="Z55" s="4">
        <f>IF(AD55=0,J55,0)</f>
        <v>0</v>
      </c>
      <c r="AA55" s="4">
        <f>IF(AD55=9,J55,0)</f>
        <v>0</v>
      </c>
      <c r="AB55" s="4">
        <f>IF(AD55=19,J55,0)</f>
        <v>0</v>
      </c>
      <c r="AD55" s="4">
        <v>19</v>
      </c>
      <c r="AE55" s="4">
        <f>G55*0.210409252669039</f>
        <v>0</v>
      </c>
      <c r="AF55" s="4">
        <f>G55*(1-0.210409252669039)</f>
        <v>0</v>
      </c>
    </row>
    <row r="56" spans="1:37" ht="12.75">
      <c r="A56" s="39"/>
      <c r="B56" s="32"/>
      <c r="C56" s="33" t="s">
        <v>90</v>
      </c>
      <c r="D56" s="51" t="s">
        <v>157</v>
      </c>
      <c r="E56" s="52"/>
      <c r="F56" s="52"/>
      <c r="G56" s="52"/>
      <c r="H56" s="34">
        <f>SUM(H57:H58)</f>
        <v>0</v>
      </c>
      <c r="I56" s="34">
        <f>SUM(I57:I58)</f>
        <v>0</v>
      </c>
      <c r="J56" s="34">
        <f>H56+I56</f>
        <v>0</v>
      </c>
      <c r="K56" s="35"/>
      <c r="L56" s="40">
        <f>SUM(L57:L58)</f>
        <v>0.15488000000000002</v>
      </c>
      <c r="P56" s="10">
        <f>IF(Q56="PR",J56,SUM(O57:O58))</f>
        <v>0</v>
      </c>
      <c r="Q56" s="6" t="s">
        <v>208</v>
      </c>
      <c r="R56" s="10">
        <f>IF(Q56="HS",H56,0)</f>
        <v>0</v>
      </c>
      <c r="S56" s="10">
        <f>IF(Q56="HS",I56-P56,0)</f>
        <v>0</v>
      </c>
      <c r="T56" s="10">
        <f>IF(Q56="PS",H56,0)</f>
        <v>0</v>
      </c>
      <c r="U56" s="10">
        <f>IF(Q56="PS",I56-P56,0)</f>
        <v>0</v>
      </c>
      <c r="V56" s="10">
        <f>IF(Q56="MP",H56,0)</f>
        <v>0</v>
      </c>
      <c r="W56" s="10">
        <f>IF(Q56="MP",I56-P56,0)</f>
        <v>0</v>
      </c>
      <c r="X56" s="10">
        <f>IF(Q56="OM",H56,0)</f>
        <v>0</v>
      </c>
      <c r="Y56" s="6"/>
      <c r="AI56" s="10">
        <f>SUM(Z57:Z58)</f>
        <v>0</v>
      </c>
      <c r="AJ56" s="10">
        <f>SUM(AA57:AA58)</f>
        <v>0</v>
      </c>
      <c r="AK56" s="10">
        <f>SUM(AB57:AB58)</f>
        <v>0</v>
      </c>
    </row>
    <row r="57" spans="1:32" ht="12.75">
      <c r="A57" s="41" t="s">
        <v>39</v>
      </c>
      <c r="B57" s="36"/>
      <c r="C57" s="36" t="s">
        <v>91</v>
      </c>
      <c r="D57" s="36" t="s">
        <v>158</v>
      </c>
      <c r="E57" s="36" t="s">
        <v>187</v>
      </c>
      <c r="F57" s="37">
        <v>4</v>
      </c>
      <c r="G57" s="37"/>
      <c r="H57" s="37">
        <f>ROUND(F57*AE57,2)</f>
        <v>0</v>
      </c>
      <c r="I57" s="37">
        <f>J57-H57</f>
        <v>0</v>
      </c>
      <c r="J57" s="37">
        <f>ROUND(F57*G57,2)</f>
        <v>0</v>
      </c>
      <c r="K57" s="37">
        <v>0.002</v>
      </c>
      <c r="L57" s="42">
        <f>F57*K57</f>
        <v>0.008</v>
      </c>
      <c r="N57" s="9" t="s">
        <v>7</v>
      </c>
      <c r="O57" s="4">
        <f>IF(N57="5",I57,0)</f>
        <v>0</v>
      </c>
      <c r="Z57" s="4">
        <f>IF(AD57=0,J57,0)</f>
        <v>0</v>
      </c>
      <c r="AA57" s="4">
        <f>IF(AD57=9,J57,0)</f>
        <v>0</v>
      </c>
      <c r="AB57" s="4">
        <f>IF(AD57=19,J57,0)</f>
        <v>0</v>
      </c>
      <c r="AD57" s="4">
        <v>19</v>
      </c>
      <c r="AE57" s="4">
        <f>G57*0.64101107639875</f>
        <v>0</v>
      </c>
      <c r="AF57" s="4">
        <f>G57*(1-0.64101107639875)</f>
        <v>0</v>
      </c>
    </row>
    <row r="58" spans="1:32" ht="12.75">
      <c r="A58" s="41" t="s">
        <v>40</v>
      </c>
      <c r="B58" s="36"/>
      <c r="C58" s="36" t="s">
        <v>92</v>
      </c>
      <c r="D58" s="36" t="s">
        <v>159</v>
      </c>
      <c r="E58" s="36" t="s">
        <v>188</v>
      </c>
      <c r="F58" s="37">
        <v>146.88</v>
      </c>
      <c r="G58" s="37"/>
      <c r="H58" s="37">
        <f>ROUND(F58*AE58,2)</f>
        <v>0</v>
      </c>
      <c r="I58" s="37">
        <f>J58-H58</f>
        <v>0</v>
      </c>
      <c r="J58" s="37">
        <f>ROUND(F58*G58,2)</f>
        <v>0</v>
      </c>
      <c r="K58" s="37">
        <v>0.001</v>
      </c>
      <c r="L58" s="42">
        <f>F58*K58</f>
        <v>0.14688</v>
      </c>
      <c r="N58" s="9" t="s">
        <v>7</v>
      </c>
      <c r="O58" s="4">
        <f>IF(N58="5",I58,0)</f>
        <v>0</v>
      </c>
      <c r="Z58" s="4">
        <f>IF(AD58=0,J58,0)</f>
        <v>0</v>
      </c>
      <c r="AA58" s="4">
        <f>IF(AD58=9,J58,0)</f>
        <v>0</v>
      </c>
      <c r="AB58" s="4">
        <f>IF(AD58=19,J58,0)</f>
        <v>0</v>
      </c>
      <c r="AD58" s="4">
        <v>19</v>
      </c>
      <c r="AE58" s="4">
        <f>G58*0.0278276481149013</f>
        <v>0</v>
      </c>
      <c r="AF58" s="4">
        <f>G58*(1-0.0278276481149013)</f>
        <v>0</v>
      </c>
    </row>
    <row r="59" spans="1:37" ht="12.75">
      <c r="A59" s="39"/>
      <c r="B59" s="32"/>
      <c r="C59" s="33" t="s">
        <v>93</v>
      </c>
      <c r="D59" s="51" t="s">
        <v>160</v>
      </c>
      <c r="E59" s="52"/>
      <c r="F59" s="52"/>
      <c r="G59" s="52"/>
      <c r="H59" s="34">
        <f>SUM(H60:H60)</f>
        <v>0</v>
      </c>
      <c r="I59" s="34">
        <f>SUM(I60:I60)</f>
        <v>0</v>
      </c>
      <c r="J59" s="34">
        <f>H59+I59</f>
        <v>0</v>
      </c>
      <c r="K59" s="35"/>
      <c r="L59" s="40">
        <f>SUM(L60:L60)</f>
        <v>1.045075</v>
      </c>
      <c r="P59" s="10">
        <f>IF(Q59="PR",J59,SUM(O60:O60))</f>
        <v>0</v>
      </c>
      <c r="Q59" s="6" t="s">
        <v>208</v>
      </c>
      <c r="R59" s="10">
        <f>IF(Q59="HS",H59,0)</f>
        <v>0</v>
      </c>
      <c r="S59" s="10">
        <f>IF(Q59="HS",I59-P59,0)</f>
        <v>0</v>
      </c>
      <c r="T59" s="10">
        <f>IF(Q59="PS",H59,0)</f>
        <v>0</v>
      </c>
      <c r="U59" s="10">
        <f>IF(Q59="PS",I59-P59,0)</f>
        <v>0</v>
      </c>
      <c r="V59" s="10">
        <f>IF(Q59="MP",H59,0)</f>
        <v>0</v>
      </c>
      <c r="W59" s="10">
        <f>IF(Q59="MP",I59-P59,0)</f>
        <v>0</v>
      </c>
      <c r="X59" s="10">
        <f>IF(Q59="OM",H59,0)</f>
        <v>0</v>
      </c>
      <c r="Y59" s="6"/>
      <c r="AI59" s="10">
        <f>SUM(Z60:Z60)</f>
        <v>0</v>
      </c>
      <c r="AJ59" s="10">
        <f>SUM(AA60:AA60)</f>
        <v>0</v>
      </c>
      <c r="AK59" s="10">
        <f>SUM(AB60:AB60)</f>
        <v>0</v>
      </c>
    </row>
    <row r="60" spans="1:32" ht="12.75">
      <c r="A60" s="41" t="s">
        <v>41</v>
      </c>
      <c r="B60" s="36"/>
      <c r="C60" s="36" t="s">
        <v>94</v>
      </c>
      <c r="D60" s="36" t="s">
        <v>161</v>
      </c>
      <c r="E60" s="36" t="s">
        <v>182</v>
      </c>
      <c r="F60" s="37">
        <v>8.5</v>
      </c>
      <c r="G60" s="37"/>
      <c r="H60" s="37">
        <f>ROUND(F60*AE60,2)</f>
        <v>0</v>
      </c>
      <c r="I60" s="37">
        <f>J60-H60</f>
        <v>0</v>
      </c>
      <c r="J60" s="37">
        <f>ROUND(F60*G60,2)</f>
        <v>0</v>
      </c>
      <c r="K60" s="37">
        <v>0.12295</v>
      </c>
      <c r="L60" s="42">
        <f>F60*K60</f>
        <v>1.045075</v>
      </c>
      <c r="N60" s="9" t="s">
        <v>7</v>
      </c>
      <c r="O60" s="4">
        <f>IF(N60="5",I60,0)</f>
        <v>0</v>
      </c>
      <c r="Z60" s="4">
        <f>IF(AD60=0,J60,0)</f>
        <v>0</v>
      </c>
      <c r="AA60" s="4">
        <f>IF(AD60=9,J60,0)</f>
        <v>0</v>
      </c>
      <c r="AB60" s="4">
        <f>IF(AD60=19,J60,0)</f>
        <v>0</v>
      </c>
      <c r="AD60" s="4">
        <v>19</v>
      </c>
      <c r="AE60" s="4">
        <f>G60*0.208124469807974</f>
        <v>0</v>
      </c>
      <c r="AF60" s="4">
        <f>G60*(1-0.208124469807974)</f>
        <v>0</v>
      </c>
    </row>
    <row r="61" spans="1:37" ht="12.75">
      <c r="A61" s="39"/>
      <c r="B61" s="32"/>
      <c r="C61" s="33" t="s">
        <v>95</v>
      </c>
      <c r="D61" s="51" t="s">
        <v>162</v>
      </c>
      <c r="E61" s="52"/>
      <c r="F61" s="52"/>
      <c r="G61" s="52"/>
      <c r="H61" s="34">
        <f>SUM(H62:H64)</f>
        <v>0</v>
      </c>
      <c r="I61" s="34">
        <f>SUM(I62:I64)</f>
        <v>0</v>
      </c>
      <c r="J61" s="34">
        <f>H61+I61</f>
        <v>0</v>
      </c>
      <c r="K61" s="35"/>
      <c r="L61" s="40">
        <f>SUM(L62:L64)</f>
        <v>0.195</v>
      </c>
      <c r="P61" s="10">
        <f>IF(Q61="PR",J61,SUM(O62:O64))</f>
        <v>0</v>
      </c>
      <c r="Q61" s="6" t="s">
        <v>208</v>
      </c>
      <c r="R61" s="10">
        <f>IF(Q61="HS",H61,0)</f>
        <v>0</v>
      </c>
      <c r="S61" s="10">
        <f>IF(Q61="HS",I61-P61,0)</f>
        <v>0</v>
      </c>
      <c r="T61" s="10">
        <f>IF(Q61="PS",H61,0)</f>
        <v>0</v>
      </c>
      <c r="U61" s="10">
        <f>IF(Q61="PS",I61-P61,0)</f>
        <v>0</v>
      </c>
      <c r="V61" s="10">
        <f>IF(Q61="MP",H61,0)</f>
        <v>0</v>
      </c>
      <c r="W61" s="10">
        <f>IF(Q61="MP",I61-P61,0)</f>
        <v>0</v>
      </c>
      <c r="X61" s="10">
        <f>IF(Q61="OM",H61,0)</f>
        <v>0</v>
      </c>
      <c r="Y61" s="6"/>
      <c r="AI61" s="10">
        <f>SUM(Z62:Z64)</f>
        <v>0</v>
      </c>
      <c r="AJ61" s="10">
        <f>SUM(AA62:AA64)</f>
        <v>0</v>
      </c>
      <c r="AK61" s="10">
        <f>SUM(AB62:AB64)</f>
        <v>0</v>
      </c>
    </row>
    <row r="62" spans="1:32" ht="12.75">
      <c r="A62" s="41" t="s">
        <v>42</v>
      </c>
      <c r="B62" s="36"/>
      <c r="C62" s="36" t="s">
        <v>96</v>
      </c>
      <c r="D62" s="36" t="s">
        <v>163</v>
      </c>
      <c r="E62" s="36" t="s">
        <v>187</v>
      </c>
      <c r="F62" s="37">
        <v>3</v>
      </c>
      <c r="G62" s="37"/>
      <c r="H62" s="37">
        <f>ROUND(F62*AE62,2)</f>
        <v>0</v>
      </c>
      <c r="I62" s="37">
        <f>J62-H62</f>
        <v>0</v>
      </c>
      <c r="J62" s="37">
        <f>ROUND(F62*G62,2)</f>
        <v>0</v>
      </c>
      <c r="K62" s="37">
        <v>0.011</v>
      </c>
      <c r="L62" s="42">
        <f>F62*K62</f>
        <v>0.033</v>
      </c>
      <c r="N62" s="9" t="s">
        <v>7</v>
      </c>
      <c r="O62" s="4">
        <f>IF(N62="5",I62,0)</f>
        <v>0</v>
      </c>
      <c r="Z62" s="4">
        <f>IF(AD62=0,J62,0)</f>
        <v>0</v>
      </c>
      <c r="AA62" s="4">
        <f>IF(AD62=9,J62,0)</f>
        <v>0</v>
      </c>
      <c r="AB62" s="4">
        <f>IF(AD62=19,J62,0)</f>
        <v>0</v>
      </c>
      <c r="AD62" s="4">
        <v>19</v>
      </c>
      <c r="AE62" s="4">
        <f>G62*0.0917558762131735</f>
        <v>0</v>
      </c>
      <c r="AF62" s="4">
        <f>G62*(1-0.0917558762131735)</f>
        <v>0</v>
      </c>
    </row>
    <row r="63" spans="1:32" ht="12.75">
      <c r="A63" s="41" t="s">
        <v>43</v>
      </c>
      <c r="B63" s="36"/>
      <c r="C63" s="36" t="s">
        <v>97</v>
      </c>
      <c r="D63" s="36" t="s">
        <v>164</v>
      </c>
      <c r="E63" s="36" t="s">
        <v>187</v>
      </c>
      <c r="F63" s="37">
        <v>3</v>
      </c>
      <c r="G63" s="37"/>
      <c r="H63" s="37">
        <f>ROUND(F63*AE63,2)</f>
        <v>0</v>
      </c>
      <c r="I63" s="37">
        <f>J63-H63</f>
        <v>0</v>
      </c>
      <c r="J63" s="37">
        <f>ROUND(F63*G63,2)</f>
        <v>0</v>
      </c>
      <c r="K63" s="37">
        <v>0.002</v>
      </c>
      <c r="L63" s="42">
        <f>F63*K63</f>
        <v>0.006</v>
      </c>
      <c r="N63" s="9" t="s">
        <v>7</v>
      </c>
      <c r="O63" s="4">
        <f>IF(N63="5",I63,0)</f>
        <v>0</v>
      </c>
      <c r="Z63" s="4">
        <f>IF(AD63=0,J63,0)</f>
        <v>0</v>
      </c>
      <c r="AA63" s="4">
        <f>IF(AD63=9,J63,0)</f>
        <v>0</v>
      </c>
      <c r="AB63" s="4">
        <f>IF(AD63=19,J63,0)</f>
        <v>0</v>
      </c>
      <c r="AD63" s="4">
        <v>19</v>
      </c>
      <c r="AE63" s="4">
        <f>G63*0.104607003483408</f>
        <v>0</v>
      </c>
      <c r="AF63" s="4">
        <f>G63*(1-0.104607003483408)</f>
        <v>0</v>
      </c>
    </row>
    <row r="64" spans="1:32" ht="12.75">
      <c r="A64" s="41" t="s">
        <v>44</v>
      </c>
      <c r="B64" s="36"/>
      <c r="C64" s="36" t="s">
        <v>98</v>
      </c>
      <c r="D64" s="36" t="s">
        <v>165</v>
      </c>
      <c r="E64" s="36" t="s">
        <v>182</v>
      </c>
      <c r="F64" s="37">
        <v>31.2</v>
      </c>
      <c r="G64" s="37"/>
      <c r="H64" s="37">
        <f>ROUND(F64*AE64,2)</f>
        <v>0</v>
      </c>
      <c r="I64" s="37">
        <f>J64-H64</f>
        <v>0</v>
      </c>
      <c r="J64" s="37">
        <f>ROUND(F64*G64,2)</f>
        <v>0</v>
      </c>
      <c r="K64" s="37">
        <v>0.005</v>
      </c>
      <c r="L64" s="42">
        <f>F64*K64</f>
        <v>0.156</v>
      </c>
      <c r="N64" s="9" t="s">
        <v>7</v>
      </c>
      <c r="O64" s="4">
        <f>IF(N64="5",I64,0)</f>
        <v>0</v>
      </c>
      <c r="Z64" s="4">
        <f>IF(AD64=0,J64,0)</f>
        <v>0</v>
      </c>
      <c r="AA64" s="4">
        <f>IF(AD64=9,J64,0)</f>
        <v>0</v>
      </c>
      <c r="AB64" s="4">
        <f>IF(AD64=19,J64,0)</f>
        <v>0</v>
      </c>
      <c r="AD64" s="4">
        <v>19</v>
      </c>
      <c r="AE64" s="4">
        <f>G64*0.290850160196707</f>
        <v>0</v>
      </c>
      <c r="AF64" s="4">
        <f>G64*(1-0.290850160196707)</f>
        <v>0</v>
      </c>
    </row>
    <row r="65" spans="1:37" ht="12.75">
      <c r="A65" s="39"/>
      <c r="B65" s="32"/>
      <c r="C65" s="33" t="s">
        <v>99</v>
      </c>
      <c r="D65" s="51" t="s">
        <v>166</v>
      </c>
      <c r="E65" s="52"/>
      <c r="F65" s="52"/>
      <c r="G65" s="52"/>
      <c r="H65" s="34">
        <f>SUM(H66:H66)</f>
        <v>0</v>
      </c>
      <c r="I65" s="34">
        <f>SUM(I66:I66)</f>
        <v>0</v>
      </c>
      <c r="J65" s="34">
        <f>H65+I65</f>
        <v>0</v>
      </c>
      <c r="K65" s="35"/>
      <c r="L65" s="40">
        <f>SUM(L66:L66)</f>
        <v>0</v>
      </c>
      <c r="P65" s="10">
        <f>IF(Q65="PR",J65,SUM(O66:O66))</f>
        <v>0</v>
      </c>
      <c r="Q65" s="6" t="s">
        <v>210</v>
      </c>
      <c r="R65" s="10">
        <f>IF(Q65="HS",H65,0)</f>
        <v>0</v>
      </c>
      <c r="S65" s="10">
        <f>IF(Q65="HS",I65-P65,0)</f>
        <v>0</v>
      </c>
      <c r="T65" s="10">
        <f>IF(Q65="PS",H65,0)</f>
        <v>0</v>
      </c>
      <c r="U65" s="10">
        <f>IF(Q65="PS",I65-P65,0)</f>
        <v>0</v>
      </c>
      <c r="V65" s="10">
        <f>IF(Q65="MP",H65,0)</f>
        <v>0</v>
      </c>
      <c r="W65" s="10">
        <f>IF(Q65="MP",I65-P65,0)</f>
        <v>0</v>
      </c>
      <c r="X65" s="10">
        <f>IF(Q65="OM",H65,0)</f>
        <v>0</v>
      </c>
      <c r="Y65" s="6"/>
      <c r="AI65" s="10">
        <f>SUM(Z66:Z66)</f>
        <v>0</v>
      </c>
      <c r="AJ65" s="10">
        <f>SUM(AA66:AA66)</f>
        <v>0</v>
      </c>
      <c r="AK65" s="10">
        <f>SUM(AB66:AB66)</f>
        <v>0</v>
      </c>
    </row>
    <row r="66" spans="1:32" ht="12.75">
      <c r="A66" s="41" t="s">
        <v>45</v>
      </c>
      <c r="B66" s="36"/>
      <c r="C66" s="36" t="s">
        <v>100</v>
      </c>
      <c r="D66" s="36" t="s">
        <v>167</v>
      </c>
      <c r="E66" s="36" t="s">
        <v>186</v>
      </c>
      <c r="F66" s="37">
        <v>363.24</v>
      </c>
      <c r="G66" s="37"/>
      <c r="H66" s="37">
        <f>ROUND(F66*AE66,2)</f>
        <v>0</v>
      </c>
      <c r="I66" s="37">
        <f>J66-H66</f>
        <v>0</v>
      </c>
      <c r="J66" s="37">
        <f>ROUND(F66*G66,2)</f>
        <v>0</v>
      </c>
      <c r="K66" s="37">
        <v>0</v>
      </c>
      <c r="L66" s="42">
        <f>F66*K66</f>
        <v>0</v>
      </c>
      <c r="N66" s="9" t="s">
        <v>11</v>
      </c>
      <c r="O66" s="4">
        <f>IF(N66="5",I66,0)</f>
        <v>0</v>
      </c>
      <c r="Z66" s="4">
        <f>IF(AD66=0,J66,0)</f>
        <v>0</v>
      </c>
      <c r="AA66" s="4">
        <f>IF(AD66=9,J66,0)</f>
        <v>0</v>
      </c>
      <c r="AB66" s="4">
        <f>IF(AD66=19,J66,0)</f>
        <v>0</v>
      </c>
      <c r="AD66" s="4">
        <v>19</v>
      </c>
      <c r="AE66" s="4">
        <f>G66*0</f>
        <v>0</v>
      </c>
      <c r="AF66" s="4">
        <f>G66*(1-0)</f>
        <v>0</v>
      </c>
    </row>
    <row r="67" spans="1:37" ht="12.75">
      <c r="A67" s="39"/>
      <c r="B67" s="32"/>
      <c r="C67" s="33"/>
      <c r="D67" s="51" t="s">
        <v>168</v>
      </c>
      <c r="E67" s="52"/>
      <c r="F67" s="52"/>
      <c r="G67" s="52"/>
      <c r="H67" s="34">
        <f>SUM(H68:H75)</f>
        <v>0</v>
      </c>
      <c r="I67" s="34">
        <f>SUM(I68:I75)</f>
        <v>0</v>
      </c>
      <c r="J67" s="34">
        <f>H67+I67</f>
        <v>0</v>
      </c>
      <c r="K67" s="35"/>
      <c r="L67" s="40">
        <f>SUM(L68:L75)</f>
        <v>57.46725</v>
      </c>
      <c r="P67" s="10">
        <f>IF(Q67="PR",J67,SUM(O68:O75))</f>
        <v>0</v>
      </c>
      <c r="Q67" s="6" t="s">
        <v>211</v>
      </c>
      <c r="R67" s="10">
        <f>IF(Q67="HS",H67,0)</f>
        <v>0</v>
      </c>
      <c r="S67" s="10">
        <f>IF(Q67="HS",I67-P67,0)</f>
        <v>0</v>
      </c>
      <c r="T67" s="10">
        <f>IF(Q67="PS",H67,0)</f>
        <v>0</v>
      </c>
      <c r="U67" s="10">
        <f>IF(Q67="PS",I67-P67,0)</f>
        <v>0</v>
      </c>
      <c r="V67" s="10">
        <f>IF(Q67="MP",H67,0)</f>
        <v>0</v>
      </c>
      <c r="W67" s="10">
        <f>IF(Q67="MP",I67-P67,0)</f>
        <v>0</v>
      </c>
      <c r="X67" s="10">
        <f>IF(Q67="OM",H67,0)</f>
        <v>0</v>
      </c>
      <c r="Y67" s="6"/>
      <c r="AI67" s="10">
        <f>SUM(Z68:Z75)</f>
        <v>0</v>
      </c>
      <c r="AJ67" s="10">
        <f>SUM(AA68:AA75)</f>
        <v>0</v>
      </c>
      <c r="AK67" s="10">
        <f>SUM(AB68:AB75)</f>
        <v>0</v>
      </c>
    </row>
    <row r="68" spans="1:32" ht="12.75">
      <c r="A68" s="41" t="s">
        <v>46</v>
      </c>
      <c r="B68" s="36"/>
      <c r="C68" s="36" t="s">
        <v>101</v>
      </c>
      <c r="D68" s="36" t="s">
        <v>169</v>
      </c>
      <c r="E68" s="36" t="s">
        <v>189</v>
      </c>
      <c r="F68" s="37">
        <v>0.047</v>
      </c>
      <c r="G68" s="37"/>
      <c r="H68" s="37">
        <f aca="true" t="shared" si="16" ref="H68:H75">ROUND(F68*AE68,2)</f>
        <v>0</v>
      </c>
      <c r="I68" s="37">
        <f aca="true" t="shared" si="17" ref="I68:I75">J68-H68</f>
        <v>0</v>
      </c>
      <c r="J68" s="37">
        <f aca="true" t="shared" si="18" ref="J68:J75">ROUND(F68*G68,2)</f>
        <v>0</v>
      </c>
      <c r="K68" s="37">
        <v>1</v>
      </c>
      <c r="L68" s="42">
        <f aca="true" t="shared" si="19" ref="L68:L75">F68*K68</f>
        <v>0.047</v>
      </c>
      <c r="N68" s="9" t="s">
        <v>205</v>
      </c>
      <c r="O68" s="4">
        <f aca="true" t="shared" si="20" ref="O68:O75">IF(N68="5",I68,0)</f>
        <v>0</v>
      </c>
      <c r="Z68" s="4">
        <f aca="true" t="shared" si="21" ref="Z68:Z75">IF(AD68=0,J68,0)</f>
        <v>0</v>
      </c>
      <c r="AA68" s="4">
        <f aca="true" t="shared" si="22" ref="AA68:AA75">IF(AD68=9,J68,0)</f>
        <v>0</v>
      </c>
      <c r="AB68" s="4">
        <f aca="true" t="shared" si="23" ref="AB68:AB75">IF(AD68=19,J68,0)</f>
        <v>0</v>
      </c>
      <c r="AD68" s="4">
        <v>19</v>
      </c>
      <c r="AE68" s="4">
        <f aca="true" t="shared" si="24" ref="AE68:AE75">G68*1</f>
        <v>0</v>
      </c>
      <c r="AF68" s="4">
        <f aca="true" t="shared" si="25" ref="AF68:AF75">G68*(1-1)</f>
        <v>0</v>
      </c>
    </row>
    <row r="69" spans="1:32" ht="12.75">
      <c r="A69" s="41" t="s">
        <v>47</v>
      </c>
      <c r="B69" s="36"/>
      <c r="C69" s="36" t="s">
        <v>102</v>
      </c>
      <c r="D69" s="36" t="s">
        <v>170</v>
      </c>
      <c r="E69" s="36" t="s">
        <v>189</v>
      </c>
      <c r="F69" s="37">
        <v>0.071</v>
      </c>
      <c r="G69" s="37"/>
      <c r="H69" s="37">
        <f t="shared" si="16"/>
        <v>0</v>
      </c>
      <c r="I69" s="37">
        <f t="shared" si="17"/>
        <v>0</v>
      </c>
      <c r="J69" s="37">
        <f t="shared" si="18"/>
        <v>0</v>
      </c>
      <c r="K69" s="37">
        <v>1</v>
      </c>
      <c r="L69" s="42">
        <f t="shared" si="19"/>
        <v>0.071</v>
      </c>
      <c r="N69" s="9" t="s">
        <v>205</v>
      </c>
      <c r="O69" s="4">
        <f t="shared" si="20"/>
        <v>0</v>
      </c>
      <c r="Z69" s="4">
        <f t="shared" si="21"/>
        <v>0</v>
      </c>
      <c r="AA69" s="4">
        <f t="shared" si="22"/>
        <v>0</v>
      </c>
      <c r="AB69" s="4">
        <f t="shared" si="23"/>
        <v>0</v>
      </c>
      <c r="AD69" s="4">
        <v>19</v>
      </c>
      <c r="AE69" s="4">
        <f t="shared" si="24"/>
        <v>0</v>
      </c>
      <c r="AF69" s="4">
        <f t="shared" si="25"/>
        <v>0</v>
      </c>
    </row>
    <row r="70" spans="1:32" ht="12.75">
      <c r="A70" s="41" t="s">
        <v>48</v>
      </c>
      <c r="B70" s="36"/>
      <c r="C70" s="36" t="s">
        <v>103</v>
      </c>
      <c r="D70" s="36" t="s">
        <v>171</v>
      </c>
      <c r="E70" s="36" t="s">
        <v>189</v>
      </c>
      <c r="F70" s="37">
        <v>0.006</v>
      </c>
      <c r="G70" s="37"/>
      <c r="H70" s="37">
        <f t="shared" si="16"/>
        <v>0</v>
      </c>
      <c r="I70" s="37">
        <f t="shared" si="17"/>
        <v>0</v>
      </c>
      <c r="J70" s="37">
        <f t="shared" si="18"/>
        <v>0</v>
      </c>
      <c r="K70" s="37">
        <v>1</v>
      </c>
      <c r="L70" s="42">
        <f t="shared" si="19"/>
        <v>0.006</v>
      </c>
      <c r="N70" s="9" t="s">
        <v>205</v>
      </c>
      <c r="O70" s="4">
        <f t="shared" si="20"/>
        <v>0</v>
      </c>
      <c r="Z70" s="4">
        <f t="shared" si="21"/>
        <v>0</v>
      </c>
      <c r="AA70" s="4">
        <f t="shared" si="22"/>
        <v>0</v>
      </c>
      <c r="AB70" s="4">
        <f t="shared" si="23"/>
        <v>0</v>
      </c>
      <c r="AD70" s="4">
        <v>19</v>
      </c>
      <c r="AE70" s="4">
        <f t="shared" si="24"/>
        <v>0</v>
      </c>
      <c r="AF70" s="4">
        <f t="shared" si="25"/>
        <v>0</v>
      </c>
    </row>
    <row r="71" spans="1:32" ht="12.75">
      <c r="A71" s="41" t="s">
        <v>49</v>
      </c>
      <c r="B71" s="36"/>
      <c r="C71" s="36" t="s">
        <v>104</v>
      </c>
      <c r="D71" s="36" t="s">
        <v>172</v>
      </c>
      <c r="E71" s="36" t="s">
        <v>189</v>
      </c>
      <c r="F71" s="37">
        <v>0.011</v>
      </c>
      <c r="G71" s="37"/>
      <c r="H71" s="37">
        <f t="shared" si="16"/>
        <v>0</v>
      </c>
      <c r="I71" s="37">
        <f t="shared" si="17"/>
        <v>0</v>
      </c>
      <c r="J71" s="37">
        <f t="shared" si="18"/>
        <v>0</v>
      </c>
      <c r="K71" s="37">
        <v>1</v>
      </c>
      <c r="L71" s="42">
        <f t="shared" si="19"/>
        <v>0.011</v>
      </c>
      <c r="N71" s="9" t="s">
        <v>205</v>
      </c>
      <c r="O71" s="4">
        <f t="shared" si="20"/>
        <v>0</v>
      </c>
      <c r="Z71" s="4">
        <f t="shared" si="21"/>
        <v>0</v>
      </c>
      <c r="AA71" s="4">
        <f t="shared" si="22"/>
        <v>0</v>
      </c>
      <c r="AB71" s="4">
        <f t="shared" si="23"/>
        <v>0</v>
      </c>
      <c r="AD71" s="4">
        <v>19</v>
      </c>
      <c r="AE71" s="4">
        <f t="shared" si="24"/>
        <v>0</v>
      </c>
      <c r="AF71" s="4">
        <f t="shared" si="25"/>
        <v>0</v>
      </c>
    </row>
    <row r="72" spans="1:32" ht="12.75">
      <c r="A72" s="41" t="s">
        <v>50</v>
      </c>
      <c r="B72" s="36"/>
      <c r="C72" s="36" t="s">
        <v>105</v>
      </c>
      <c r="D72" s="36" t="s">
        <v>173</v>
      </c>
      <c r="E72" s="36" t="s">
        <v>189</v>
      </c>
      <c r="F72" s="37">
        <v>0.012</v>
      </c>
      <c r="G72" s="37"/>
      <c r="H72" s="37">
        <f t="shared" si="16"/>
        <v>0</v>
      </c>
      <c r="I72" s="37">
        <f t="shared" si="17"/>
        <v>0</v>
      </c>
      <c r="J72" s="37">
        <f t="shared" si="18"/>
        <v>0</v>
      </c>
      <c r="K72" s="37">
        <v>1</v>
      </c>
      <c r="L72" s="42">
        <f t="shared" si="19"/>
        <v>0.012</v>
      </c>
      <c r="N72" s="9" t="s">
        <v>205</v>
      </c>
      <c r="O72" s="4">
        <f t="shared" si="20"/>
        <v>0</v>
      </c>
      <c r="Z72" s="4">
        <f t="shared" si="21"/>
        <v>0</v>
      </c>
      <c r="AA72" s="4">
        <f t="shared" si="22"/>
        <v>0</v>
      </c>
      <c r="AB72" s="4">
        <f t="shared" si="23"/>
        <v>0</v>
      </c>
      <c r="AD72" s="4">
        <v>19</v>
      </c>
      <c r="AE72" s="4">
        <f t="shared" si="24"/>
        <v>0</v>
      </c>
      <c r="AF72" s="4">
        <f t="shared" si="25"/>
        <v>0</v>
      </c>
    </row>
    <row r="73" spans="1:32" ht="12.75">
      <c r="A73" s="41" t="s">
        <v>51</v>
      </c>
      <c r="B73" s="36"/>
      <c r="C73" s="36" t="s">
        <v>106</v>
      </c>
      <c r="D73" s="36" t="s">
        <v>174</v>
      </c>
      <c r="E73" s="36" t="s">
        <v>189</v>
      </c>
      <c r="F73" s="37">
        <v>0.083</v>
      </c>
      <c r="G73" s="37"/>
      <c r="H73" s="37">
        <f t="shared" si="16"/>
        <v>0</v>
      </c>
      <c r="I73" s="37">
        <f t="shared" si="17"/>
        <v>0</v>
      </c>
      <c r="J73" s="37">
        <f t="shared" si="18"/>
        <v>0</v>
      </c>
      <c r="K73" s="37">
        <v>1</v>
      </c>
      <c r="L73" s="42">
        <f t="shared" si="19"/>
        <v>0.083</v>
      </c>
      <c r="N73" s="9" t="s">
        <v>205</v>
      </c>
      <c r="O73" s="4">
        <f t="shared" si="20"/>
        <v>0</v>
      </c>
      <c r="Z73" s="4">
        <f t="shared" si="21"/>
        <v>0</v>
      </c>
      <c r="AA73" s="4">
        <f t="shared" si="22"/>
        <v>0</v>
      </c>
      <c r="AB73" s="4">
        <f t="shared" si="23"/>
        <v>0</v>
      </c>
      <c r="AD73" s="4">
        <v>19</v>
      </c>
      <c r="AE73" s="4">
        <f t="shared" si="24"/>
        <v>0</v>
      </c>
      <c r="AF73" s="4">
        <f t="shared" si="25"/>
        <v>0</v>
      </c>
    </row>
    <row r="74" spans="1:32" ht="12.75">
      <c r="A74" s="41" t="s">
        <v>52</v>
      </c>
      <c r="B74" s="36"/>
      <c r="C74" s="36" t="s">
        <v>107</v>
      </c>
      <c r="D74" s="36" t="s">
        <v>175</v>
      </c>
      <c r="E74" s="36" t="s">
        <v>182</v>
      </c>
      <c r="F74" s="37">
        <v>35</v>
      </c>
      <c r="G74" s="37"/>
      <c r="H74" s="37">
        <f t="shared" si="16"/>
        <v>0</v>
      </c>
      <c r="I74" s="37">
        <f t="shared" si="17"/>
        <v>0</v>
      </c>
      <c r="J74" s="37">
        <f t="shared" si="18"/>
        <v>0</v>
      </c>
      <c r="K74" s="37">
        <v>0.00335</v>
      </c>
      <c r="L74" s="42">
        <f t="shared" si="19"/>
        <v>0.11725000000000001</v>
      </c>
      <c r="N74" s="9" t="s">
        <v>205</v>
      </c>
      <c r="O74" s="4">
        <f t="shared" si="20"/>
        <v>0</v>
      </c>
      <c r="Z74" s="4">
        <f t="shared" si="21"/>
        <v>0</v>
      </c>
      <c r="AA74" s="4">
        <f t="shared" si="22"/>
        <v>0</v>
      </c>
      <c r="AB74" s="4">
        <f t="shared" si="23"/>
        <v>0</v>
      </c>
      <c r="AD74" s="4">
        <v>19</v>
      </c>
      <c r="AE74" s="4">
        <f t="shared" si="24"/>
        <v>0</v>
      </c>
      <c r="AF74" s="4">
        <f t="shared" si="25"/>
        <v>0</v>
      </c>
    </row>
    <row r="75" spans="1:32" ht="12.75">
      <c r="A75" s="41" t="s">
        <v>53</v>
      </c>
      <c r="B75" s="36"/>
      <c r="C75" s="36" t="s">
        <v>108</v>
      </c>
      <c r="D75" s="36" t="s">
        <v>176</v>
      </c>
      <c r="E75" s="36" t="s">
        <v>187</v>
      </c>
      <c r="F75" s="37">
        <v>17</v>
      </c>
      <c r="G75" s="37"/>
      <c r="H75" s="37">
        <f t="shared" si="16"/>
        <v>0</v>
      </c>
      <c r="I75" s="37">
        <f t="shared" si="17"/>
        <v>0</v>
      </c>
      <c r="J75" s="37">
        <f t="shared" si="18"/>
        <v>0</v>
      </c>
      <c r="K75" s="37">
        <v>3.36</v>
      </c>
      <c r="L75" s="42">
        <f t="shared" si="19"/>
        <v>57.12</v>
      </c>
      <c r="N75" s="9" t="s">
        <v>205</v>
      </c>
      <c r="O75" s="4">
        <f t="shared" si="20"/>
        <v>0</v>
      </c>
      <c r="Z75" s="4">
        <f t="shared" si="21"/>
        <v>0</v>
      </c>
      <c r="AA75" s="4">
        <f t="shared" si="22"/>
        <v>0</v>
      </c>
      <c r="AB75" s="4">
        <f t="shared" si="23"/>
        <v>0</v>
      </c>
      <c r="AD75" s="4">
        <v>19</v>
      </c>
      <c r="AE75" s="4">
        <f t="shared" si="24"/>
        <v>0</v>
      </c>
      <c r="AF75" s="4">
        <f t="shared" si="25"/>
        <v>0</v>
      </c>
    </row>
    <row r="76" spans="1:28" ht="12.75">
      <c r="A76" s="43"/>
      <c r="B76" s="2"/>
      <c r="C76" s="2"/>
      <c r="D76" s="2"/>
      <c r="E76" s="2"/>
      <c r="F76" s="2"/>
      <c r="G76" s="2"/>
      <c r="H76" s="53" t="s">
        <v>195</v>
      </c>
      <c r="I76" s="54"/>
      <c r="J76" s="11">
        <f>J12+J15+J17+J21+J25+J28+J30+J38+J40+J47+J50+J53+J56+J59+J61+J65+J67</f>
        <v>0</v>
      </c>
      <c r="K76" s="2"/>
      <c r="L76" s="44"/>
      <c r="Z76" s="12">
        <f>SUM(Z13:Z75)</f>
        <v>0</v>
      </c>
      <c r="AA76" s="12">
        <f>SUM(AA13:AA75)</f>
        <v>0</v>
      </c>
      <c r="AB76" s="12">
        <f>SUM(AB13:AB75)</f>
        <v>0</v>
      </c>
    </row>
    <row r="77" spans="1:12" ht="12.75">
      <c r="A77" s="45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7"/>
    </row>
    <row r="78" spans="1:12" ht="13.5" thickBot="1">
      <c r="A78" s="48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50"/>
    </row>
  </sheetData>
  <sheetProtection/>
  <mergeCells count="45">
    <mergeCell ref="A1:L1"/>
    <mergeCell ref="A2:C3"/>
    <mergeCell ref="A4:C5"/>
    <mergeCell ref="A6:C7"/>
    <mergeCell ref="E2:F3"/>
    <mergeCell ref="E4:F5"/>
    <mergeCell ref="E6:F7"/>
    <mergeCell ref="I2:I3"/>
    <mergeCell ref="I4:I5"/>
    <mergeCell ref="I6:I7"/>
    <mergeCell ref="G2:H3"/>
    <mergeCell ref="G4:H5"/>
    <mergeCell ref="G6:H7"/>
    <mergeCell ref="G8:H9"/>
    <mergeCell ref="A8:C9"/>
    <mergeCell ref="D2:D3"/>
    <mergeCell ref="D4:D5"/>
    <mergeCell ref="D6:D7"/>
    <mergeCell ref="D8:D9"/>
    <mergeCell ref="H10:J10"/>
    <mergeCell ref="K10:L10"/>
    <mergeCell ref="D12:G12"/>
    <mergeCell ref="D15:G15"/>
    <mergeCell ref="I8:I9"/>
    <mergeCell ref="J2:L3"/>
    <mergeCell ref="J4:L5"/>
    <mergeCell ref="J6:L7"/>
    <mergeCell ref="J8:L9"/>
    <mergeCell ref="E8:F9"/>
    <mergeCell ref="D30:G30"/>
    <mergeCell ref="D38:G38"/>
    <mergeCell ref="D40:G40"/>
    <mergeCell ref="D47:G47"/>
    <mergeCell ref="D17:G17"/>
    <mergeCell ref="D21:G21"/>
    <mergeCell ref="D25:G25"/>
    <mergeCell ref="D28:G28"/>
    <mergeCell ref="D61:G61"/>
    <mergeCell ref="D65:G65"/>
    <mergeCell ref="D67:G67"/>
    <mergeCell ref="H76:I76"/>
    <mergeCell ref="D50:G50"/>
    <mergeCell ref="D53:G53"/>
    <mergeCell ref="D56:G56"/>
    <mergeCell ref="D59:G59"/>
  </mergeCells>
  <printOptions/>
  <pageMargins left="0.787401575" right="0.787401575" top="0.984251969" bottom="0.984251969" header="0.4921259845" footer="0.49212598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4">
      <selection activeCell="G25" sqref="G25:H25"/>
    </sheetView>
  </sheetViews>
  <sheetFormatPr defaultColWidth="11.421875" defaultRowHeight="12.75"/>
  <cols>
    <col min="1" max="1" width="9.140625" style="0" customWidth="1"/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7" max="7" width="9.140625" style="0" customWidth="1"/>
    <col min="8" max="8" width="11.8515625" style="0" customWidth="1"/>
    <col min="9" max="9" width="22.421875" style="0" customWidth="1"/>
  </cols>
  <sheetData>
    <row r="1" spans="1:9" ht="28.5" customHeight="1">
      <c r="A1" s="98" t="s">
        <v>219</v>
      </c>
      <c r="B1" s="99"/>
      <c r="C1" s="99"/>
      <c r="D1" s="99"/>
      <c r="E1" s="99"/>
      <c r="F1" s="99"/>
      <c r="G1" s="99"/>
      <c r="H1" s="99"/>
      <c r="I1" s="99"/>
    </row>
    <row r="2" spans="1:10" ht="12.75">
      <c r="A2" s="72" t="s">
        <v>1</v>
      </c>
      <c r="B2" s="61"/>
      <c r="C2" s="53" t="s">
        <v>109</v>
      </c>
      <c r="D2" s="54"/>
      <c r="E2" s="60" t="s">
        <v>196</v>
      </c>
      <c r="F2" s="60" t="s">
        <v>201</v>
      </c>
      <c r="G2" s="61"/>
      <c r="H2" s="60" t="s">
        <v>250</v>
      </c>
      <c r="I2" s="100"/>
      <c r="J2" s="7"/>
    </row>
    <row r="3" spans="1:10" ht="12.75">
      <c r="A3" s="73"/>
      <c r="B3" s="63"/>
      <c r="C3" s="69"/>
      <c r="D3" s="69"/>
      <c r="E3" s="63"/>
      <c r="F3" s="63"/>
      <c r="G3" s="63"/>
      <c r="H3" s="63"/>
      <c r="I3" s="64"/>
      <c r="J3" s="7"/>
    </row>
    <row r="4" spans="1:10" ht="12.75">
      <c r="A4" s="67" t="s">
        <v>2</v>
      </c>
      <c r="B4" s="63"/>
      <c r="C4" s="58" t="s">
        <v>110</v>
      </c>
      <c r="D4" s="63"/>
      <c r="E4" s="58" t="s">
        <v>197</v>
      </c>
      <c r="F4" s="58"/>
      <c r="G4" s="63"/>
      <c r="H4" s="58" t="s">
        <v>250</v>
      </c>
      <c r="I4" s="95"/>
      <c r="J4" s="7"/>
    </row>
    <row r="5" spans="1:10" ht="12.75">
      <c r="A5" s="73"/>
      <c r="B5" s="63"/>
      <c r="C5" s="63"/>
      <c r="D5" s="63"/>
      <c r="E5" s="63"/>
      <c r="F5" s="63"/>
      <c r="G5" s="63"/>
      <c r="H5" s="63"/>
      <c r="I5" s="64"/>
      <c r="J5" s="7"/>
    </row>
    <row r="6" spans="1:10" ht="12.75">
      <c r="A6" s="67" t="s">
        <v>3</v>
      </c>
      <c r="B6" s="63"/>
      <c r="C6" s="58" t="s">
        <v>111</v>
      </c>
      <c r="D6" s="63"/>
      <c r="E6" s="58" t="s">
        <v>198</v>
      </c>
      <c r="F6" s="58" t="s">
        <v>202</v>
      </c>
      <c r="G6" s="63"/>
      <c r="H6" s="58" t="s">
        <v>250</v>
      </c>
      <c r="I6" s="95"/>
      <c r="J6" s="7"/>
    </row>
    <row r="7" spans="1:10" ht="12.75">
      <c r="A7" s="73"/>
      <c r="B7" s="63"/>
      <c r="C7" s="63"/>
      <c r="D7" s="63"/>
      <c r="E7" s="63"/>
      <c r="F7" s="63"/>
      <c r="G7" s="63"/>
      <c r="H7" s="63"/>
      <c r="I7" s="64"/>
      <c r="J7" s="7"/>
    </row>
    <row r="8" spans="1:10" ht="12.75">
      <c r="A8" s="67" t="s">
        <v>178</v>
      </c>
      <c r="B8" s="63"/>
      <c r="C8" s="66"/>
      <c r="D8" s="63"/>
      <c r="E8" s="58" t="s">
        <v>179</v>
      </c>
      <c r="F8" s="63"/>
      <c r="G8" s="63"/>
      <c r="H8" s="58" t="s">
        <v>251</v>
      </c>
      <c r="I8" s="95" t="s">
        <v>53</v>
      </c>
      <c r="J8" s="7"/>
    </row>
    <row r="9" spans="1:10" ht="12.75">
      <c r="A9" s="73"/>
      <c r="B9" s="63"/>
      <c r="C9" s="63"/>
      <c r="D9" s="63"/>
      <c r="E9" s="63"/>
      <c r="F9" s="63"/>
      <c r="G9" s="63"/>
      <c r="H9" s="63"/>
      <c r="I9" s="64"/>
      <c r="J9" s="7"/>
    </row>
    <row r="10" spans="1:10" ht="12.75">
      <c r="A10" s="67" t="s">
        <v>4</v>
      </c>
      <c r="B10" s="63"/>
      <c r="C10" s="58" t="s">
        <v>254</v>
      </c>
      <c r="D10" s="63"/>
      <c r="E10" s="58" t="s">
        <v>199</v>
      </c>
      <c r="F10" s="58"/>
      <c r="G10" s="63"/>
      <c r="H10" s="58" t="s">
        <v>252</v>
      </c>
      <c r="I10" s="96"/>
      <c r="J10" s="7"/>
    </row>
    <row r="11" spans="1:10" ht="12.75">
      <c r="A11" s="94"/>
      <c r="B11" s="93"/>
      <c r="C11" s="93"/>
      <c r="D11" s="93"/>
      <c r="E11" s="93"/>
      <c r="F11" s="93"/>
      <c r="G11" s="93"/>
      <c r="H11" s="93"/>
      <c r="I11" s="97"/>
      <c r="J11" s="7"/>
    </row>
    <row r="12" spans="1:9" ht="23.25" customHeight="1">
      <c r="A12" s="89" t="s">
        <v>220</v>
      </c>
      <c r="B12" s="90"/>
      <c r="C12" s="90"/>
      <c r="D12" s="90"/>
      <c r="E12" s="90"/>
      <c r="F12" s="90"/>
      <c r="G12" s="90"/>
      <c r="H12" s="90"/>
      <c r="I12" s="90"/>
    </row>
    <row r="13" spans="1:10" ht="26.25" customHeight="1">
      <c r="A13" s="14" t="s">
        <v>221</v>
      </c>
      <c r="B13" s="91" t="s">
        <v>230</v>
      </c>
      <c r="C13" s="92"/>
      <c r="D13" s="14" t="s">
        <v>232</v>
      </c>
      <c r="E13" s="91" t="s">
        <v>238</v>
      </c>
      <c r="F13" s="92"/>
      <c r="G13" s="14" t="s">
        <v>239</v>
      </c>
      <c r="H13" s="91" t="s">
        <v>253</v>
      </c>
      <c r="I13" s="92"/>
      <c r="J13" s="7"/>
    </row>
    <row r="14" spans="1:10" ht="15" customHeight="1">
      <c r="A14" s="15" t="s">
        <v>222</v>
      </c>
      <c r="B14" s="20" t="s">
        <v>231</v>
      </c>
      <c r="C14" s="22">
        <f>SUM('Stavební rozpočet'!R12:R75)</f>
        <v>0</v>
      </c>
      <c r="D14" s="87" t="s">
        <v>233</v>
      </c>
      <c r="E14" s="88"/>
      <c r="F14" s="22">
        <v>0</v>
      </c>
      <c r="G14" s="87" t="s">
        <v>240</v>
      </c>
      <c r="H14" s="88"/>
      <c r="I14" s="22">
        <f>ROUND(C22*(3/100),2)</f>
        <v>0</v>
      </c>
      <c r="J14" s="7"/>
    </row>
    <row r="15" spans="1:10" ht="15" customHeight="1">
      <c r="A15" s="16"/>
      <c r="B15" s="20" t="s">
        <v>200</v>
      </c>
      <c r="C15" s="22">
        <f>SUM('Stavební rozpočet'!S12:S75)</f>
        <v>0</v>
      </c>
      <c r="D15" s="87" t="s">
        <v>234</v>
      </c>
      <c r="E15" s="88"/>
      <c r="F15" s="22">
        <v>0</v>
      </c>
      <c r="G15" s="87" t="s">
        <v>241</v>
      </c>
      <c r="H15" s="88"/>
      <c r="I15" s="22">
        <v>0</v>
      </c>
      <c r="J15" s="7"/>
    </row>
    <row r="16" spans="1:10" ht="15" customHeight="1">
      <c r="A16" s="15" t="s">
        <v>223</v>
      </c>
      <c r="B16" s="20" t="s">
        <v>231</v>
      </c>
      <c r="C16" s="22">
        <f>SUM('Stavební rozpočet'!T12:T75)</f>
        <v>0</v>
      </c>
      <c r="D16" s="87" t="s">
        <v>235</v>
      </c>
      <c r="E16" s="88"/>
      <c r="F16" s="22">
        <v>0</v>
      </c>
      <c r="G16" s="87" t="s">
        <v>242</v>
      </c>
      <c r="H16" s="88"/>
      <c r="I16" s="22">
        <v>0</v>
      </c>
      <c r="J16" s="7"/>
    </row>
    <row r="17" spans="1:10" ht="15" customHeight="1">
      <c r="A17" s="16"/>
      <c r="B17" s="20" t="s">
        <v>200</v>
      </c>
      <c r="C17" s="22">
        <f>SUM('Stavební rozpočet'!U12:U75)</f>
        <v>0</v>
      </c>
      <c r="D17" s="87"/>
      <c r="E17" s="88"/>
      <c r="F17" s="23"/>
      <c r="G17" s="87" t="s">
        <v>243</v>
      </c>
      <c r="H17" s="88"/>
      <c r="I17" s="22">
        <v>0</v>
      </c>
      <c r="J17" s="7"/>
    </row>
    <row r="18" spans="1:10" ht="15" customHeight="1">
      <c r="A18" s="15" t="s">
        <v>224</v>
      </c>
      <c r="B18" s="20" t="s">
        <v>231</v>
      </c>
      <c r="C18" s="22">
        <f>SUM('Stavební rozpočet'!V12:V75)</f>
        <v>0</v>
      </c>
      <c r="D18" s="87"/>
      <c r="E18" s="88"/>
      <c r="F18" s="23"/>
      <c r="G18" s="87" t="s">
        <v>244</v>
      </c>
      <c r="H18" s="88"/>
      <c r="I18" s="22">
        <v>0</v>
      </c>
      <c r="J18" s="7"/>
    </row>
    <row r="19" spans="1:10" ht="15" customHeight="1">
      <c r="A19" s="16"/>
      <c r="B19" s="20" t="s">
        <v>200</v>
      </c>
      <c r="C19" s="22">
        <f>SUM('Stavební rozpočet'!W12:W75)</f>
        <v>0</v>
      </c>
      <c r="D19" s="87"/>
      <c r="E19" s="88"/>
      <c r="F19" s="23"/>
      <c r="G19" s="87" t="s">
        <v>245</v>
      </c>
      <c r="H19" s="88"/>
      <c r="I19" s="22">
        <v>0</v>
      </c>
      <c r="J19" s="7"/>
    </row>
    <row r="20" spans="1:10" ht="15" customHeight="1">
      <c r="A20" s="83" t="s">
        <v>168</v>
      </c>
      <c r="B20" s="84"/>
      <c r="C20" s="22">
        <f>SUM('Stavební rozpočet'!X12:X75)</f>
        <v>0</v>
      </c>
      <c r="D20" s="87"/>
      <c r="E20" s="88"/>
      <c r="F20" s="23"/>
      <c r="G20" s="87"/>
      <c r="H20" s="88"/>
      <c r="I20" s="23"/>
      <c r="J20" s="7"/>
    </row>
    <row r="21" spans="1:10" ht="15" customHeight="1">
      <c r="A21" s="83" t="s">
        <v>225</v>
      </c>
      <c r="B21" s="84"/>
      <c r="C21" s="22">
        <f>SUM('Stavební rozpočet'!P12:P75)</f>
        <v>0</v>
      </c>
      <c r="D21" s="87"/>
      <c r="E21" s="88"/>
      <c r="F21" s="23"/>
      <c r="G21" s="87"/>
      <c r="H21" s="88"/>
      <c r="I21" s="23"/>
      <c r="J21" s="7"/>
    </row>
    <row r="22" spans="1:10" ht="16.5" customHeight="1">
      <c r="A22" s="83" t="s">
        <v>226</v>
      </c>
      <c r="B22" s="84"/>
      <c r="C22" s="22">
        <f>SUM(C14:C21)</f>
        <v>0</v>
      </c>
      <c r="D22" s="83" t="s">
        <v>236</v>
      </c>
      <c r="E22" s="84"/>
      <c r="F22" s="22">
        <f>SUM(F14:F21)</f>
        <v>0</v>
      </c>
      <c r="G22" s="83" t="s">
        <v>246</v>
      </c>
      <c r="H22" s="84"/>
      <c r="I22" s="22">
        <f>SUM(I14:I21)</f>
        <v>0</v>
      </c>
      <c r="J22" s="7"/>
    </row>
    <row r="23" spans="1:9" ht="12.75">
      <c r="A23" s="17"/>
      <c r="B23" s="17"/>
      <c r="C23" s="17"/>
      <c r="D23" s="2"/>
      <c r="E23" s="2"/>
      <c r="F23" s="2"/>
      <c r="G23" s="2"/>
      <c r="H23" s="2"/>
      <c r="I23" s="2"/>
    </row>
    <row r="24" spans="1:9" ht="15" customHeight="1">
      <c r="A24" s="85" t="s">
        <v>227</v>
      </c>
      <c r="B24" s="86"/>
      <c r="C24" s="24">
        <f>SUM('Stavební rozpočet'!Z12:Z75)</f>
        <v>0</v>
      </c>
      <c r="D24" s="21"/>
      <c r="E24" s="13"/>
      <c r="F24" s="13"/>
      <c r="G24" s="13"/>
      <c r="H24" s="13"/>
      <c r="I24" s="13"/>
    </row>
    <row r="25" spans="1:10" ht="15" customHeight="1">
      <c r="A25" s="85" t="s">
        <v>257</v>
      </c>
      <c r="B25" s="86"/>
      <c r="C25" s="24">
        <f>SUM('Stavební rozpočet'!AA12:AA75)</f>
        <v>0</v>
      </c>
      <c r="D25" s="85" t="s">
        <v>258</v>
      </c>
      <c r="E25" s="86"/>
      <c r="F25" s="24">
        <f>ROUND(C25*(10/100),2)</f>
        <v>0</v>
      </c>
      <c r="G25" s="85" t="s">
        <v>247</v>
      </c>
      <c r="H25" s="86"/>
      <c r="I25" s="24">
        <f>SUM(C24:C26)</f>
        <v>0</v>
      </c>
      <c r="J25" s="7"/>
    </row>
    <row r="26" spans="1:10" ht="15" customHeight="1">
      <c r="A26" s="85" t="s">
        <v>255</v>
      </c>
      <c r="B26" s="86"/>
      <c r="C26" s="24">
        <f>SUM('Stavební rozpočet'!AB12:AB75)+(F22+I22)</f>
        <v>0</v>
      </c>
      <c r="D26" s="85" t="s">
        <v>256</v>
      </c>
      <c r="E26" s="86"/>
      <c r="F26" s="24">
        <f>ROUND(C26*(20/100),2)</f>
        <v>0</v>
      </c>
      <c r="G26" s="85" t="s">
        <v>248</v>
      </c>
      <c r="H26" s="86"/>
      <c r="I26" s="24">
        <f>SUM(F25:F26)+I25</f>
        <v>0</v>
      </c>
      <c r="J26" s="7"/>
    </row>
    <row r="27" spans="1:9" ht="12.75">
      <c r="A27" s="18"/>
      <c r="B27" s="18"/>
      <c r="C27" s="18"/>
      <c r="D27" s="18"/>
      <c r="E27" s="18"/>
      <c r="F27" s="18"/>
      <c r="G27" s="18"/>
      <c r="H27" s="18"/>
      <c r="I27" s="18"/>
    </row>
    <row r="28" spans="1:10" ht="14.25" customHeight="1">
      <c r="A28" s="77" t="s">
        <v>228</v>
      </c>
      <c r="B28" s="78"/>
      <c r="C28" s="79"/>
      <c r="D28" s="77" t="s">
        <v>237</v>
      </c>
      <c r="E28" s="78"/>
      <c r="F28" s="79"/>
      <c r="G28" s="77" t="s">
        <v>249</v>
      </c>
      <c r="H28" s="78"/>
      <c r="I28" s="79"/>
      <c r="J28" s="8"/>
    </row>
    <row r="29" spans="1:10" ht="14.25" customHeight="1">
      <c r="A29" s="80"/>
      <c r="B29" s="81"/>
      <c r="C29" s="82"/>
      <c r="D29" s="80"/>
      <c r="E29" s="81"/>
      <c r="F29" s="82"/>
      <c r="G29" s="80"/>
      <c r="H29" s="81"/>
      <c r="I29" s="82"/>
      <c r="J29" s="8"/>
    </row>
    <row r="30" spans="1:10" ht="14.25" customHeight="1">
      <c r="A30" s="80"/>
      <c r="B30" s="81"/>
      <c r="C30" s="82"/>
      <c r="D30" s="80"/>
      <c r="E30" s="81"/>
      <c r="F30" s="82"/>
      <c r="G30" s="80"/>
      <c r="H30" s="81"/>
      <c r="I30" s="82"/>
      <c r="J30" s="8"/>
    </row>
    <row r="31" spans="1:10" ht="14.25" customHeight="1">
      <c r="A31" s="80"/>
      <c r="B31" s="81"/>
      <c r="C31" s="82"/>
      <c r="D31" s="80"/>
      <c r="E31" s="81"/>
      <c r="F31" s="82"/>
      <c r="G31" s="80"/>
      <c r="H31" s="81"/>
      <c r="I31" s="82"/>
      <c r="J31" s="8"/>
    </row>
    <row r="32" spans="1:10" ht="14.25" customHeight="1">
      <c r="A32" s="74" t="s">
        <v>229</v>
      </c>
      <c r="B32" s="75"/>
      <c r="C32" s="76"/>
      <c r="D32" s="74" t="s">
        <v>229</v>
      </c>
      <c r="E32" s="75"/>
      <c r="F32" s="76"/>
      <c r="G32" s="74" t="s">
        <v>229</v>
      </c>
      <c r="H32" s="75"/>
      <c r="I32" s="76"/>
      <c r="J32" s="8"/>
    </row>
    <row r="33" spans="1:9" ht="12.75">
      <c r="A33" s="19"/>
      <c r="B33" s="19"/>
      <c r="C33" s="19"/>
      <c r="D33" s="19"/>
      <c r="E33" s="19"/>
      <c r="F33" s="19"/>
      <c r="G33" s="19"/>
      <c r="H33" s="19"/>
      <c r="I33" s="19"/>
    </row>
  </sheetData>
  <sheetProtection/>
  <mergeCells count="78">
    <mergeCell ref="H4:H5"/>
    <mergeCell ref="H6:H7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E2:E3"/>
    <mergeCell ref="I2:I3"/>
    <mergeCell ref="I4:I5"/>
    <mergeCell ref="I6:I7"/>
    <mergeCell ref="I8:I9"/>
    <mergeCell ref="I10:I11"/>
    <mergeCell ref="E8:E9"/>
    <mergeCell ref="E10:E11"/>
    <mergeCell ref="F2:G3"/>
    <mergeCell ref="F4:G5"/>
    <mergeCell ref="F6:G7"/>
    <mergeCell ref="E4:E5"/>
    <mergeCell ref="E6:E7"/>
    <mergeCell ref="H2:H3"/>
    <mergeCell ref="A12:I12"/>
    <mergeCell ref="B13:C13"/>
    <mergeCell ref="E13:F13"/>
    <mergeCell ref="H13:I13"/>
    <mergeCell ref="H8:H9"/>
    <mergeCell ref="H10:H11"/>
    <mergeCell ref="F8:G9"/>
    <mergeCell ref="F10:G11"/>
    <mergeCell ref="A8:B9"/>
    <mergeCell ref="A10:B11"/>
    <mergeCell ref="D14:E14"/>
    <mergeCell ref="D15:E15"/>
    <mergeCell ref="D16:E16"/>
    <mergeCell ref="D17:E17"/>
    <mergeCell ref="D18:E18"/>
    <mergeCell ref="D19:E19"/>
    <mergeCell ref="G19:H19"/>
    <mergeCell ref="G20:H20"/>
    <mergeCell ref="G21:H21"/>
    <mergeCell ref="A20:B20"/>
    <mergeCell ref="A21:B21"/>
    <mergeCell ref="A22:B22"/>
    <mergeCell ref="D20:E20"/>
    <mergeCell ref="D26:E26"/>
    <mergeCell ref="G25:H25"/>
    <mergeCell ref="G26:H26"/>
    <mergeCell ref="D21:E21"/>
    <mergeCell ref="D22:E22"/>
    <mergeCell ref="G14:H14"/>
    <mergeCell ref="G15:H15"/>
    <mergeCell ref="G16:H16"/>
    <mergeCell ref="G17:H17"/>
    <mergeCell ref="G18:H18"/>
    <mergeCell ref="D32:F32"/>
    <mergeCell ref="A28:C28"/>
    <mergeCell ref="A29:C29"/>
    <mergeCell ref="A30:C30"/>
    <mergeCell ref="A31:C31"/>
    <mergeCell ref="G22:H22"/>
    <mergeCell ref="A24:B24"/>
    <mergeCell ref="A25:B25"/>
    <mergeCell ref="A26:B26"/>
    <mergeCell ref="D25:E25"/>
    <mergeCell ref="G32:I32"/>
    <mergeCell ref="G28:I28"/>
    <mergeCell ref="G29:I29"/>
    <mergeCell ref="G30:I30"/>
    <mergeCell ref="G31:I31"/>
    <mergeCell ref="A32:C32"/>
    <mergeCell ref="D28:F28"/>
    <mergeCell ref="D29:F29"/>
    <mergeCell ref="D30:F30"/>
    <mergeCell ref="D31:F31"/>
  </mergeCells>
  <printOptions/>
  <pageMargins left="0.787401575" right="0.787401575" top="0.984251969" bottom="0.984251969" header="0.4921259845" footer="0.49212598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2009-07-02T08:05:35Z</cp:lastPrinted>
  <dcterms:created xsi:type="dcterms:W3CDTF">2009-07-02T08:06:40Z</dcterms:created>
  <dcterms:modified xsi:type="dcterms:W3CDTF">2011-12-14T13:50:48Z</dcterms:modified>
  <cp:category/>
  <cp:version/>
  <cp:contentType/>
  <cp:contentStatus/>
</cp:coreProperties>
</file>