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<sst xmlns="http://schemas.openxmlformats.org/spreadsheetml/2006/main" count="375" uniqueCount="246">
  <si>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</si>
  <si>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</si>
  <si>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</si>
  <si>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</si>
  <si>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</si>
  <si>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</si>
  <si>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</si>
  <si>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</si>
  <si>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</si>
  <si>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</si>
  <si>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</si>
  <si>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</si>
  <si>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</si>
  <si>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</si>
  <si>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</si>
  <si>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</si>
  <si>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</si>
  <si>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</si>
  <si>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</si>
  <si>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</si>
  <si>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</si>
  <si>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</si>
  <si>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</si>
  <si>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</si>
  <si>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</si>
  <si>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</si>
  <si>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</si>
  <si>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</si>
  <si>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</si>
  <si>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</si>
  <si>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</si>
  <si>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</si>
  <si>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</si>
  <si>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</si>
  <si>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</si>
  <si>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</si>
  <si>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</si>
  <si>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</si>
  <si>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</si>
  <si>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</si>
  <si>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</si>
  <si>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</si>
  <si>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</si>
  <si>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</si>
  <si>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</si>
  <si>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</si>
  <si>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</si>
  <si>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</si>
  <si>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</si>
  <si>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</si>
  <si>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</si>
  <si>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Objekt</t>
  </si>
  <si>
    <t>Kód</t>
  </si>
  <si>
    <t>122201101R00</t>
  </si>
  <si>
    <t>131201101R00</t>
  </si>
  <si>
    <t>132201201R00</t>
  </si>
  <si>
    <t>161101101R00</t>
  </si>
  <si>
    <t>162301101R00</t>
  </si>
  <si>
    <t>167101101R00</t>
  </si>
  <si>
    <t>174101101R00</t>
  </si>
  <si>
    <t>321311116VD</t>
  </si>
  <si>
    <t>321321116VD</t>
  </si>
  <si>
    <t>321351010R00</t>
  </si>
  <si>
    <t>321352010R00</t>
  </si>
  <si>
    <t>321361102R00</t>
  </si>
  <si>
    <t>45</t>
  </si>
  <si>
    <t>451311511R00</t>
  </si>
  <si>
    <t>451571111R00</t>
  </si>
  <si>
    <t>451573111R00</t>
  </si>
  <si>
    <t>452218010R00</t>
  </si>
  <si>
    <t>46</t>
  </si>
  <si>
    <t>465513227R00</t>
  </si>
  <si>
    <t>783</t>
  </si>
  <si>
    <t>783225400R00</t>
  </si>
  <si>
    <t>783424340R00</t>
  </si>
  <si>
    <t>81</t>
  </si>
  <si>
    <t>811391111R00</t>
  </si>
  <si>
    <t>89</t>
  </si>
  <si>
    <t>894403011R00</t>
  </si>
  <si>
    <t>894411131R00</t>
  </si>
  <si>
    <t>899501311R00</t>
  </si>
  <si>
    <t>899623181VD</t>
  </si>
  <si>
    <t>899643111R00</t>
  </si>
  <si>
    <t>91</t>
  </si>
  <si>
    <t>911231111R00</t>
  </si>
  <si>
    <t>93</t>
  </si>
  <si>
    <t>931995113VD</t>
  </si>
  <si>
    <t>934956123R00</t>
  </si>
  <si>
    <t>936173111R00</t>
  </si>
  <si>
    <t>936173113R00</t>
  </si>
  <si>
    <t>936173114R00</t>
  </si>
  <si>
    <t>936941112R00</t>
  </si>
  <si>
    <t>936941114R00</t>
  </si>
  <si>
    <t>H32</t>
  </si>
  <si>
    <t>998324011R00</t>
  </si>
  <si>
    <t>13224850</t>
  </si>
  <si>
    <t>13224860</t>
  </si>
  <si>
    <t>13359109.A</t>
  </si>
  <si>
    <t>13384415</t>
  </si>
  <si>
    <t>13384425</t>
  </si>
  <si>
    <t>13640315</t>
  </si>
  <si>
    <t>14111051</t>
  </si>
  <si>
    <t>59221630</t>
  </si>
  <si>
    <t>59224354</t>
  </si>
  <si>
    <t>59224361.A</t>
  </si>
  <si>
    <t>Rybník R2 v k.ú. Dobřeň</t>
  </si>
  <si>
    <t>nová stavba</t>
  </si>
  <si>
    <t>SO 3 - Spodní výpust s požerákem</t>
  </si>
  <si>
    <t>Zkrácený popis</t>
  </si>
  <si>
    <t>Odkopávky a prokopávky</t>
  </si>
  <si>
    <t>Odkopávky nezapažené v hor. 3 do 100 m3</t>
  </si>
  <si>
    <t>Hloubené vykopávky</t>
  </si>
  <si>
    <t>Hloubení nezapažených jam v hor.3 do 100 m3</t>
  </si>
  <si>
    <t>Hloubení rýh šířky do 200 cm v hor.3 do 100 m3</t>
  </si>
  <si>
    <t>Přemístění výkopku</t>
  </si>
  <si>
    <t>Svislé přemístění výkopku z hor.1-4 do 2,5 m</t>
  </si>
  <si>
    <t>Vodorovné přemístění výkopku z hor.1-4 do 500 m</t>
  </si>
  <si>
    <t>Nakládání výkopku z hor.1-4 v množství do 100 m3</t>
  </si>
  <si>
    <t>Konstrukce ze zemin</t>
  </si>
  <si>
    <t>Zásyp jam, rýh, šachet se zhutněním</t>
  </si>
  <si>
    <t>Zdi přehradní a opěrné</t>
  </si>
  <si>
    <t>Konstrukce z betonu pro prostředí s mrazovými cykly C 30/37</t>
  </si>
  <si>
    <t>Konstrukce přehrad ze železobetonu C 30/37</t>
  </si>
  <si>
    <t>Obednění konstrukcí přehrad ploch rovinných</t>
  </si>
  <si>
    <t>Odbednění konstrukcí přehrad ploch rovinných</t>
  </si>
  <si>
    <t>Výztuž ŽB konstrukcí přehrad ocelí 10216, D 32 mm</t>
  </si>
  <si>
    <t>Podkladní a vedlejší konstrukce (inženýr. stavby kromě vozovek a železnič. svršku)</t>
  </si>
  <si>
    <t>Podklad pod dlažbu z betonu V4 T0 B 12,5, do 10 cm</t>
  </si>
  <si>
    <t>Lože dlažby ze štěrkopísků tl. do 10 cm</t>
  </si>
  <si>
    <t>Lože pod potrubí ze štěrkopísku do 63 mm</t>
  </si>
  <si>
    <t>Zajišťovací práh z uprav. lom. kamene, na sucho</t>
  </si>
  <si>
    <t>Zpevněné plochy (kromě vozovek a železnič. svršku)</t>
  </si>
  <si>
    <t>Dlažba z kamene na MC, s vyspárov. MCs, tl. 25 cm</t>
  </si>
  <si>
    <t>Nátěry</t>
  </si>
  <si>
    <t>Nátěr syntetický kov. konstr. 2x + 1x email + tmel</t>
  </si>
  <si>
    <t>Nátěr syntet. potrubí do DN 50 mm  Z+2x +1x email</t>
  </si>
  <si>
    <t>Potrubí z trub betonových</t>
  </si>
  <si>
    <t>Montž potrubí z trub beton. s polodrážkou DN 400</t>
  </si>
  <si>
    <t>Ostatní konstrukce</t>
  </si>
  <si>
    <t>Osazení betonových stropních dílců jakýchkoliv</t>
  </si>
  <si>
    <t>Zřízení šachet z dílců, dno B 30, potrubí DN 400</t>
  </si>
  <si>
    <t>Stupadla šachtová vidlicová s vysek. otvoru, cihly</t>
  </si>
  <si>
    <t>Obetonování potrubí betonem C 30/37</t>
  </si>
  <si>
    <t>Bednění pro obetonování potrubí v otevřeném výkopu</t>
  </si>
  <si>
    <t>Doplňující konstrukce a práce pozemních komunikací, letišť a ploch</t>
  </si>
  <si>
    <t>Osazení a montáž silnič.zábradlí ocelového,2 madla</t>
  </si>
  <si>
    <t>Různé dokončovací konstrukce a práce inženýrských staveb</t>
  </si>
  <si>
    <t>Úprava dilatační spáry gumovým pásem tl. do 150mm</t>
  </si>
  <si>
    <t>Hradítka z dubového dřeva tloušťky 4 cm</t>
  </si>
  <si>
    <t>Osazení doplňkových ocel. konstrukcí do 20 kg</t>
  </si>
  <si>
    <t>Osazení doplňkových ocel. konstrukcí do 100 kg</t>
  </si>
  <si>
    <t>Osazení doplňkových ocel. konstrukcí do 500 kg</t>
  </si>
  <si>
    <t>Osazení doplňkových ocel. součástí do 10 kg</t>
  </si>
  <si>
    <t>Osazení doplňkových ocel. součástí do 100 kg</t>
  </si>
  <si>
    <t>Hráze a objekty na tocích</t>
  </si>
  <si>
    <t>Přesun hmot pro objekty v zemních hrázích</t>
  </si>
  <si>
    <t>Ostatní materiál</t>
  </si>
  <si>
    <t>Tyč ocelová plochá jakost 11375  35x 5 mm</t>
  </si>
  <si>
    <t>Tyč ocelová plochá jakost 11375  35x10 mm</t>
  </si>
  <si>
    <t>Ocel pásová jakost 11375  70x10,0 mm</t>
  </si>
  <si>
    <t>Tyč průřezu U  65, střední, jakost oceli 11375</t>
  </si>
  <si>
    <t>Tyč průřezu U 100, střední, jakost oceli 11375</t>
  </si>
  <si>
    <t>Plech žebrovaný DIN 59220/83  4x1000x2000 mm</t>
  </si>
  <si>
    <t>Trubky bezešvé hladké jakost 11353.1  D 38x4,0 mm</t>
  </si>
  <si>
    <t>Trouba bet hrdlová TBP 2-40  DN40x100x6 cm</t>
  </si>
  <si>
    <t>Deska zákrytová TZK-Q.1 100-63/17</t>
  </si>
  <si>
    <t>Skruž šachetní TBS-Q.1 100/50 PS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</si>
  <si>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</si>
  <si>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</si>
  <si>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</si>
  <si>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</si>
  <si>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</si>
  <si>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</si>
  <si>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</si>
  <si>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t</t>
  </si>
  <si>
    <t>m</t>
  </si>
  <si>
    <t>kus</t>
  </si>
  <si>
    <t>kg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</si>
  <si>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</si>
  <si>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</si>
  <si>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</si>
  <si>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</si>
  <si>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</si>
  <si>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</si>
  <si>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</si>
  <si>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</si>
  <si>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</si>
  <si>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</si>
  <si>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</si>
  <si>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</si>
  <si>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Pozemkový úřad Kutná Hora</t>
  </si>
  <si>
    <t>AGRO-AQUA Pardubice</t>
  </si>
  <si>
    <t>Celkem</t>
  </si>
  <si>
    <t>Hmotnost (t)</t>
  </si>
  <si>
    <t>0</t>
  </si>
  <si>
    <t>Přesuny</t>
  </si>
  <si>
    <t>Typ skupiny</t>
  </si>
  <si>
    <t>HS</t>
  </si>
  <si>
    <t>PS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</si>
  <si>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</si>
  <si>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</si>
  <si>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</si>
  <si>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</si>
  <si>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</si>
  <si>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</si>
  <si>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</si>
  <si>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</si>
  <si>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</si>
  <si>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</si>
  <si>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</si>
  <si>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</si>
  <si>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</si>
  <si>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</si>
  <si>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</si>
  <si>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</si>
  <si>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</si>
  <si>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</si>
  <si>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</si>
  <si>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</si>
  <si>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</si>
  <si>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</si>
  <si>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</si>
  <si>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</si>
  <si>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</si>
  <si>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</si>
  <si>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</si>
  <si>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</si>
  <si>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</si>
  <si>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</si>
  <si>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</si>
  <si>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</si>
  <si>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</si>
  <si>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</si>
  <si>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</si>
  <si>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</si>
  <si>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</si>
  <si>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</si>
  <si>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</si>
  <si>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</si>
  <si>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</si>
  <si>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</si>
  <si>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</si>
  <si>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</si>
  <si>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DPH 20%</t>
  </si>
  <si>
    <t>Základ 10%</t>
  </si>
  <si>
    <t>DPH 10%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</si>
</sst>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7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6" fillId="33" borderId="17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49" fontId="8" fillId="0" borderId="17" xfId="0" applyNumberFormat="1" applyFont="1" applyFill="1" applyBorder="1" applyAlignment="1" applyProtection="1">
      <alignment horizontal="right" vertical="center"/>
      <protection/>
    </xf>
    <xf numFmtId="4" fontId="7" fillId="33" borderId="23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right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10" fillId="33" borderId="17" xfId="0" applyNumberFormat="1" applyFont="1" applyFill="1" applyBorder="1" applyAlignment="1" applyProtection="1">
      <alignment horizontal="left" vertical="center"/>
      <protection/>
    </xf>
    <xf numFmtId="49" fontId="11" fillId="33" borderId="17" xfId="0" applyNumberFormat="1" applyFont="1" applyFill="1" applyBorder="1" applyAlignment="1" applyProtection="1">
      <alignment horizontal="left" vertical="center"/>
      <protection/>
    </xf>
    <xf numFmtId="4" fontId="11" fillId="33" borderId="17" xfId="0" applyNumberFormat="1" applyFont="1" applyFill="1" applyBorder="1" applyAlignment="1" applyProtection="1">
      <alignment horizontal="right" vertical="center"/>
      <protection/>
    </xf>
    <xf numFmtId="49" fontId="11" fillId="33" borderId="17" xfId="0" applyNumberFormat="1" applyFont="1" applyFill="1" applyBorder="1" applyAlignment="1" applyProtection="1">
      <alignment horizontal="right"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/>
    </xf>
    <xf numFmtId="4" fontId="10" fillId="0" borderId="17" xfId="0" applyNumberFormat="1" applyFont="1" applyFill="1" applyBorder="1" applyAlignment="1" applyProtection="1">
      <alignment horizontal="right" vertical="center"/>
      <protection/>
    </xf>
    <xf numFmtId="49" fontId="10" fillId="33" borderId="29" xfId="0" applyNumberFormat="1" applyFont="1" applyFill="1" applyBorder="1" applyAlignment="1" applyProtection="1">
      <alignment horizontal="left" vertical="center"/>
      <protection/>
    </xf>
    <xf numFmtId="4" fontId="11" fillId="33" borderId="30" xfId="0" applyNumberFormat="1" applyFont="1" applyFill="1" applyBorder="1" applyAlignment="1" applyProtection="1">
      <alignment horizontal="right" vertical="center"/>
      <protection/>
    </xf>
    <xf numFmtId="49" fontId="10" fillId="0" borderId="29" xfId="0" applyNumberFormat="1" applyFont="1" applyFill="1" applyBorder="1" applyAlignment="1" applyProtection="1">
      <alignment horizontal="left" vertical="center"/>
      <protection/>
    </xf>
    <xf numFmtId="4" fontId="10" fillId="0" borderId="30" xfId="0" applyNumberFormat="1" applyFont="1" applyFill="1" applyBorder="1" applyAlignment="1" applyProtection="1">
      <alignment horizontal="right" vertical="center"/>
      <protection/>
    </xf>
    <xf numFmtId="49" fontId="10" fillId="0" borderId="31" xfId="0" applyNumberFormat="1" applyFont="1" applyFill="1" applyBorder="1" applyAlignment="1" applyProtection="1">
      <alignment horizontal="left" vertical="center"/>
      <protection/>
    </xf>
    <xf numFmtId="49" fontId="10" fillId="0" borderId="32" xfId="0" applyNumberFormat="1" applyFont="1" applyFill="1" applyBorder="1" applyAlignment="1" applyProtection="1">
      <alignment horizontal="left" vertical="center"/>
      <protection/>
    </xf>
    <xf numFmtId="4" fontId="10" fillId="0" borderId="32" xfId="0" applyNumberFormat="1" applyFont="1" applyFill="1" applyBorder="1" applyAlignment="1" applyProtection="1">
      <alignment horizontal="right" vertical="center"/>
      <protection/>
    </xf>
    <xf numFmtId="4" fontId="10" fillId="0" borderId="3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1" fillId="33" borderId="17" xfId="0" applyNumberFormat="1" applyFont="1" applyFill="1" applyBorder="1" applyAlignment="1" applyProtection="1">
      <alignment horizontal="left" vertical="center"/>
      <protection/>
    </xf>
    <xf numFmtId="0" fontId="11" fillId="33" borderId="17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49" fontId="8" fillId="0" borderId="43" xfId="0" applyNumberFormat="1" applyFont="1" applyFill="1" applyBorder="1" applyAlignment="1" applyProtection="1">
      <alignment horizontal="left" vertical="center"/>
      <protection/>
    </xf>
    <xf numFmtId="0" fontId="8" fillId="0" borderId="44" xfId="0" applyNumberFormat="1" applyFont="1" applyFill="1" applyBorder="1" applyAlignment="1" applyProtection="1">
      <alignment horizontal="left" vertical="center"/>
      <protection/>
    </xf>
    <xf numFmtId="0" fontId="8" fillId="0" borderId="45" xfId="0" applyNumberFormat="1" applyFont="1" applyFill="1" applyBorder="1" applyAlignment="1" applyProtection="1">
      <alignment horizontal="left" vertical="center"/>
      <protection/>
    </xf>
    <xf numFmtId="49" fontId="8" fillId="0" borderId="46" xfId="0" applyNumberFormat="1" applyFont="1" applyFill="1" applyBorder="1" applyAlignment="1" applyProtection="1">
      <alignment horizontal="left" vertical="center"/>
      <protection/>
    </xf>
    <xf numFmtId="0" fontId="8" fillId="0" borderId="47" xfId="0" applyNumberFormat="1" applyFont="1" applyFill="1" applyBorder="1" applyAlignment="1" applyProtection="1">
      <alignment horizontal="left" vertical="center"/>
      <protection/>
    </xf>
    <xf numFmtId="0" fontId="8" fillId="0" borderId="48" xfId="0" applyNumberFormat="1" applyFont="1" applyFill="1" applyBorder="1" applyAlignment="1" applyProtection="1">
      <alignment horizontal="left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49" xfId="0" applyNumberFormat="1" applyFont="1" applyFill="1" applyBorder="1" applyAlignment="1" applyProtection="1">
      <alignment horizontal="left" vertical="center"/>
      <protection/>
    </xf>
    <xf numFmtId="49" fontId="7" fillId="33" borderId="50" xfId="0" applyNumberFormat="1" applyFont="1" applyFill="1" applyBorder="1" applyAlignment="1" applyProtection="1">
      <alignment horizontal="left" vertical="center"/>
      <protection/>
    </xf>
    <xf numFmtId="0" fontId="7" fillId="33" borderId="20" xfId="0" applyNumberFormat="1" applyFont="1" applyFill="1" applyBorder="1" applyAlignment="1" applyProtection="1">
      <alignment horizontal="left" vertical="center"/>
      <protection/>
    </xf>
    <xf numFmtId="49" fontId="8" fillId="0" borderId="50" xfId="0" applyNumberFormat="1" applyFont="1" applyFill="1" applyBorder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left" vertical="center"/>
      <protection/>
    </xf>
    <xf numFmtId="49" fontId="7" fillId="0" borderId="50" xfId="0" applyNumberFormat="1" applyFont="1" applyFill="1" applyBorder="1" applyAlignment="1" applyProtection="1">
      <alignment horizontal="left" vertical="center"/>
      <protection/>
    </xf>
    <xf numFmtId="0" fontId="7" fillId="0" borderId="23" xfId="0" applyNumberFormat="1" applyFont="1" applyFill="1" applyBorder="1" applyAlignment="1" applyProtection="1">
      <alignment horizontal="lef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49" fontId="1" fillId="0" borderId="39" xfId="0" applyNumberFormat="1" applyFont="1" applyFill="1" applyBorder="1" applyAlignment="1" applyProtection="1">
      <alignment horizontal="left" vertical="center"/>
      <protection/>
    </xf>
    <xf numFmtId="14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0"/>
  <sheetViews>
    <sheetView zoomScalePageLayoutView="0" workbookViewId="0" topLeftCell="A28">
      <selection activeCell="J8" sqref="J8:L9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38.421875" style="0" customWidth="1"/>
    <col min="5" max="5" width="4.28125" style="0" customWidth="1"/>
    <col min="6" max="6" width="10.8515625" style="0" customWidth="1"/>
    <col min="7" max="12" width="10.2812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3" ht="12.75">
      <c r="A2" s="67" t="s">
        <v>1</v>
      </c>
      <c r="B2" s="54"/>
      <c r="C2" s="54"/>
      <c r="D2" s="64" t="s">
        <v>105</v>
      </c>
      <c r="E2" s="53" t="s">
        <v>167</v>
      </c>
      <c r="F2" s="54"/>
      <c r="G2" s="53"/>
      <c r="H2" s="54"/>
      <c r="I2" s="53" t="s">
        <v>185</v>
      </c>
      <c r="J2" s="53" t="s">
        <v>190</v>
      </c>
      <c r="K2" s="54"/>
      <c r="L2" s="59"/>
      <c r="M2" s="7"/>
    </row>
    <row r="3" spans="1:13" ht="12.75">
      <c r="A3" s="68"/>
      <c r="B3" s="55"/>
      <c r="C3" s="55"/>
      <c r="D3" s="47"/>
      <c r="E3" s="55"/>
      <c r="F3" s="55"/>
      <c r="G3" s="55"/>
      <c r="H3" s="55"/>
      <c r="I3" s="55"/>
      <c r="J3" s="55"/>
      <c r="K3" s="55"/>
      <c r="L3" s="60"/>
      <c r="M3" s="7"/>
    </row>
    <row r="4" spans="1:13" ht="12.75">
      <c r="A4" s="62" t="s">
        <v>2</v>
      </c>
      <c r="B4" s="55"/>
      <c r="C4" s="55"/>
      <c r="D4" s="58" t="s">
        <v>106</v>
      </c>
      <c r="E4" s="58" t="s">
        <v>168</v>
      </c>
      <c r="F4" s="55"/>
      <c r="G4" s="56"/>
      <c r="H4" s="55"/>
      <c r="I4" s="58" t="s">
        <v>186</v>
      </c>
      <c r="J4" s="58"/>
      <c r="K4" s="55"/>
      <c r="L4" s="60"/>
      <c r="M4" s="7"/>
    </row>
    <row r="5" spans="1:13" ht="12.75">
      <c r="A5" s="68"/>
      <c r="B5" s="55"/>
      <c r="C5" s="55"/>
      <c r="D5" s="55"/>
      <c r="E5" s="55"/>
      <c r="F5" s="55"/>
      <c r="G5" s="55"/>
      <c r="H5" s="55"/>
      <c r="I5" s="55"/>
      <c r="J5" s="55"/>
      <c r="K5" s="55"/>
      <c r="L5" s="60"/>
      <c r="M5" s="7"/>
    </row>
    <row r="6" spans="1:13" ht="12.75">
      <c r="A6" s="62" t="s">
        <v>3</v>
      </c>
      <c r="B6" s="55"/>
      <c r="C6" s="55"/>
      <c r="D6" s="58" t="s">
        <v>107</v>
      </c>
      <c r="E6" s="58" t="s">
        <v>169</v>
      </c>
      <c r="F6" s="55"/>
      <c r="G6" s="55"/>
      <c r="H6" s="55"/>
      <c r="I6" s="58" t="s">
        <v>187</v>
      </c>
      <c r="J6" s="58" t="s">
        <v>191</v>
      </c>
      <c r="K6" s="55"/>
      <c r="L6" s="60"/>
      <c r="M6" s="7"/>
    </row>
    <row r="7" spans="1:13" ht="12.75">
      <c r="A7" s="68"/>
      <c r="B7" s="55"/>
      <c r="C7" s="55"/>
      <c r="D7" s="55"/>
      <c r="E7" s="55"/>
      <c r="F7" s="55"/>
      <c r="G7" s="55"/>
      <c r="H7" s="55"/>
      <c r="I7" s="55"/>
      <c r="J7" s="55"/>
      <c r="K7" s="55"/>
      <c r="L7" s="60"/>
      <c r="M7" s="7"/>
    </row>
    <row r="8" spans="1:13" ht="12.75">
      <c r="A8" s="62" t="s">
        <v>4</v>
      </c>
      <c r="B8" s="55"/>
      <c r="C8" s="55"/>
      <c r="D8" s="58"/>
      <c r="E8" s="58" t="s">
        <v>170</v>
      </c>
      <c r="F8" s="55"/>
      <c r="G8" s="56"/>
      <c r="H8" s="55"/>
      <c r="I8" s="58" t="s">
        <v>188</v>
      </c>
      <c r="J8" s="58"/>
      <c r="K8" s="55"/>
      <c r="L8" s="60"/>
      <c r="M8" s="7"/>
    </row>
    <row r="9" spans="1:13" ht="12.75">
      <c r="A9" s="63"/>
      <c r="B9" s="57"/>
      <c r="C9" s="57"/>
      <c r="D9" s="57"/>
      <c r="E9" s="57"/>
      <c r="F9" s="57"/>
      <c r="G9" s="57"/>
      <c r="H9" s="57"/>
      <c r="I9" s="57"/>
      <c r="J9" s="57"/>
      <c r="K9" s="57"/>
      <c r="L9" s="61"/>
      <c r="M9" s="7"/>
    </row>
    <row r="10" spans="1:13" ht="12.75">
      <c r="A10" s="1" t="s">
        <v>5</v>
      </c>
      <c r="B10" s="3" t="s">
        <v>5</v>
      </c>
      <c r="C10" s="3" t="s">
        <v>5</v>
      </c>
      <c r="D10" s="3" t="s">
        <v>5</v>
      </c>
      <c r="E10" s="3" t="s">
        <v>5</v>
      </c>
      <c r="F10" s="3" t="s">
        <v>5</v>
      </c>
      <c r="G10" s="5" t="s">
        <v>180</v>
      </c>
      <c r="H10" s="50" t="s">
        <v>182</v>
      </c>
      <c r="I10" s="51"/>
      <c r="J10" s="52"/>
      <c r="K10" s="50" t="s">
        <v>193</v>
      </c>
      <c r="L10" s="52"/>
      <c r="M10" s="8"/>
    </row>
    <row r="11" spans="1:24" ht="12.75">
      <c r="A11" s="24" t="s">
        <v>6</v>
      </c>
      <c r="B11" s="25" t="s">
        <v>51</v>
      </c>
      <c r="C11" s="25" t="s">
        <v>52</v>
      </c>
      <c r="D11" s="25" t="s">
        <v>108</v>
      </c>
      <c r="E11" s="25" t="s">
        <v>171</v>
      </c>
      <c r="F11" s="26" t="s">
        <v>179</v>
      </c>
      <c r="G11" s="27" t="s">
        <v>181</v>
      </c>
      <c r="H11" s="28" t="s">
        <v>183</v>
      </c>
      <c r="I11" s="29" t="s">
        <v>189</v>
      </c>
      <c r="J11" s="30" t="s">
        <v>192</v>
      </c>
      <c r="K11" s="28" t="s">
        <v>180</v>
      </c>
      <c r="L11" s="30" t="s">
        <v>192</v>
      </c>
      <c r="M11" s="8"/>
      <c r="P11" s="6" t="s">
        <v>195</v>
      </c>
      <c r="Q11" s="6" t="s">
        <v>196</v>
      </c>
      <c r="R11" s="6" t="s">
        <v>201</v>
      </c>
      <c r="S11" s="6" t="s">
        <v>202</v>
      </c>
      <c r="T11" s="6" t="s">
        <v>203</v>
      </c>
      <c r="U11" s="6" t="s">
        <v>204</v>
      </c>
      <c r="V11" s="6" t="s">
        <v>205</v>
      </c>
      <c r="W11" s="6" t="s">
        <v>206</v>
      </c>
      <c r="X11" s="6" t="s">
        <v>207</v>
      </c>
    </row>
    <row r="12" spans="1:37" ht="12.75">
      <c r="A12" s="37"/>
      <c r="B12" s="31"/>
      <c r="C12" s="32" t="s">
        <v>18</v>
      </c>
      <c r="D12" s="48" t="s">
        <v>109</v>
      </c>
      <c r="E12" s="49"/>
      <c r="F12" s="49"/>
      <c r="G12" s="49"/>
      <c r="H12" s="33">
        <f>SUM(H13:H13)</f>
        <v>0</v>
      </c>
      <c r="I12" s="33">
        <f>SUM(I13:I13)</f>
        <v>0</v>
      </c>
      <c r="J12" s="33">
        <f>H12+I12</f>
        <v>0</v>
      </c>
      <c r="K12" s="34"/>
      <c r="L12" s="38">
        <f>SUM(L13:L13)</f>
        <v>0</v>
      </c>
      <c r="P12" s="10">
        <f>IF(Q12="PR",J12,SUM(O13:O13))</f>
        <v>0</v>
      </c>
      <c r="Q12" s="6" t="s">
        <v>197</v>
      </c>
      <c r="R12" s="10">
        <f>IF(Q12="HS",H12,0)</f>
        <v>0</v>
      </c>
      <c r="S12" s="10">
        <f>IF(Q12="HS",I12-P12,0)</f>
        <v>0</v>
      </c>
      <c r="T12" s="10">
        <f>IF(Q12="PS",H12,0)</f>
        <v>0</v>
      </c>
      <c r="U12" s="10">
        <f>IF(Q12="PS",I12-P12,0)</f>
        <v>0</v>
      </c>
      <c r="V12" s="10">
        <f>IF(Q12="MP",H12,0)</f>
        <v>0</v>
      </c>
      <c r="W12" s="10">
        <f>IF(Q12="MP",I12-P12,0)</f>
        <v>0</v>
      </c>
      <c r="X12" s="10">
        <f>IF(Q12="OM",H12,0)</f>
        <v>0</v>
      </c>
      <c r="Y12" s="6"/>
      <c r="AI12" s="10">
        <f>SUM(Z13:Z13)</f>
        <v>0</v>
      </c>
      <c r="AJ12" s="10">
        <f>SUM(AA13:AA13)</f>
        <v>0</v>
      </c>
      <c r="AK12" s="10">
        <f>SUM(AB13:AB13)</f>
        <v>0</v>
      </c>
    </row>
    <row r="13" spans="1:32" ht="12.75">
      <c r="A13" s="39" t="s">
        <v>7</v>
      </c>
      <c r="B13" s="35"/>
      <c r="C13" s="35" t="s">
        <v>53</v>
      </c>
      <c r="D13" s="35" t="s">
        <v>110</v>
      </c>
      <c r="E13" s="35" t="s">
        <v>172</v>
      </c>
      <c r="F13" s="36">
        <v>3.5</v>
      </c>
      <c r="G13" s="36"/>
      <c r="H13" s="36">
        <f>ROUND(F13*AE13,2)</f>
        <v>0</v>
      </c>
      <c r="I13" s="36">
        <f>J13-H13</f>
        <v>0</v>
      </c>
      <c r="J13" s="36">
        <f>ROUND(F13*G13,2)</f>
        <v>0</v>
      </c>
      <c r="K13" s="36">
        <v>0</v>
      </c>
      <c r="L13" s="40">
        <f>F13*K13</f>
        <v>0</v>
      </c>
      <c r="N13" s="9" t="s">
        <v>7</v>
      </c>
      <c r="O13" s="4">
        <f>IF(N13="5",I13,0)</f>
        <v>0</v>
      </c>
      <c r="Z13" s="4">
        <f>IF(AD13=0,J13,0)</f>
        <v>0</v>
      </c>
      <c r="AA13" s="4">
        <f>IF(AD13=9,J13,0)</f>
        <v>0</v>
      </c>
      <c r="AB13" s="4">
        <f>IF(AD13=19,J13,0)</f>
        <v>0</v>
      </c>
      <c r="AD13" s="4">
        <v>19</v>
      </c>
      <c r="AE13" s="4">
        <f>G13*0</f>
        <v>0</v>
      </c>
      <c r="AF13" s="4">
        <f>G13*(1-0)</f>
        <v>0</v>
      </c>
    </row>
    <row r="14" spans="1:37" ht="12.75">
      <c r="A14" s="37"/>
      <c r="B14" s="31"/>
      <c r="C14" s="32" t="s">
        <v>19</v>
      </c>
      <c r="D14" s="48" t="s">
        <v>111</v>
      </c>
      <c r="E14" s="49"/>
      <c r="F14" s="49"/>
      <c r="G14" s="49"/>
      <c r="H14" s="33">
        <f>SUM(H15:H16)</f>
        <v>0</v>
      </c>
      <c r="I14" s="33">
        <f>SUM(I15:I16)</f>
        <v>0</v>
      </c>
      <c r="J14" s="33">
        <f>H14+I14</f>
        <v>0</v>
      </c>
      <c r="K14" s="34"/>
      <c r="L14" s="38">
        <f>SUM(L15:L16)</f>
        <v>0</v>
      </c>
      <c r="P14" s="10">
        <f>IF(Q14="PR",J14,SUM(O15:O16))</f>
        <v>0</v>
      </c>
      <c r="Q14" s="6" t="s">
        <v>197</v>
      </c>
      <c r="R14" s="10">
        <f>IF(Q14="HS",H14,0)</f>
        <v>0</v>
      </c>
      <c r="S14" s="10">
        <f>IF(Q14="HS",I14-P14,0)</f>
        <v>0</v>
      </c>
      <c r="T14" s="10">
        <f>IF(Q14="PS",H14,0)</f>
        <v>0</v>
      </c>
      <c r="U14" s="10">
        <f>IF(Q14="PS",I14-P14,0)</f>
        <v>0</v>
      </c>
      <c r="V14" s="10">
        <f>IF(Q14="MP",H14,0)</f>
        <v>0</v>
      </c>
      <c r="W14" s="10">
        <f>IF(Q14="MP",I14-P14,0)</f>
        <v>0</v>
      </c>
      <c r="X14" s="10">
        <f>IF(Q14="OM",H14,0)</f>
        <v>0</v>
      </c>
      <c r="Y14" s="6"/>
      <c r="AI14" s="10">
        <f>SUM(Z15:Z16)</f>
        <v>0</v>
      </c>
      <c r="AJ14" s="10">
        <f>SUM(AA15:AA16)</f>
        <v>0</v>
      </c>
      <c r="AK14" s="10">
        <f>SUM(AB15:AB16)</f>
        <v>0</v>
      </c>
    </row>
    <row r="15" spans="1:32" ht="12.75">
      <c r="A15" s="39" t="s">
        <v>8</v>
      </c>
      <c r="B15" s="35"/>
      <c r="C15" s="35" t="s">
        <v>54</v>
      </c>
      <c r="D15" s="35" t="s">
        <v>112</v>
      </c>
      <c r="E15" s="35" t="s">
        <v>172</v>
      </c>
      <c r="F15" s="36">
        <v>32.39</v>
      </c>
      <c r="G15" s="36"/>
      <c r="H15" s="36">
        <f>ROUND(F15*AE15,2)</f>
        <v>0</v>
      </c>
      <c r="I15" s="36">
        <f>J15-H15</f>
        <v>0</v>
      </c>
      <c r="J15" s="36">
        <f>ROUND(F15*G15,2)</f>
        <v>0</v>
      </c>
      <c r="K15" s="36">
        <v>0</v>
      </c>
      <c r="L15" s="40">
        <f>F15*K15</f>
        <v>0</v>
      </c>
      <c r="N15" s="9" t="s">
        <v>7</v>
      </c>
      <c r="O15" s="4">
        <f>IF(N15="5",I15,0)</f>
        <v>0</v>
      </c>
      <c r="Z15" s="4">
        <f>IF(AD15=0,J15,0)</f>
        <v>0</v>
      </c>
      <c r="AA15" s="4">
        <f>IF(AD15=9,J15,0)</f>
        <v>0</v>
      </c>
      <c r="AB15" s="4">
        <f>IF(AD15=19,J15,0)</f>
        <v>0</v>
      </c>
      <c r="AD15" s="4">
        <v>19</v>
      </c>
      <c r="AE15" s="4">
        <f>G15*0</f>
        <v>0</v>
      </c>
      <c r="AF15" s="4">
        <f>G15*(1-0)</f>
        <v>0</v>
      </c>
    </row>
    <row r="16" spans="1:32" ht="12.75">
      <c r="A16" s="39" t="s">
        <v>9</v>
      </c>
      <c r="B16" s="35"/>
      <c r="C16" s="35" t="s">
        <v>55</v>
      </c>
      <c r="D16" s="35" t="s">
        <v>113</v>
      </c>
      <c r="E16" s="35" t="s">
        <v>172</v>
      </c>
      <c r="F16" s="36">
        <v>13.34</v>
      </c>
      <c r="G16" s="36"/>
      <c r="H16" s="36">
        <f>ROUND(F16*AE16,2)</f>
        <v>0</v>
      </c>
      <c r="I16" s="36">
        <f>J16-H16</f>
        <v>0</v>
      </c>
      <c r="J16" s="36">
        <f>ROUND(F16*G16,2)</f>
        <v>0</v>
      </c>
      <c r="K16" s="36">
        <v>0</v>
      </c>
      <c r="L16" s="40">
        <f>F16*K16</f>
        <v>0</v>
      </c>
      <c r="N16" s="9" t="s">
        <v>7</v>
      </c>
      <c r="O16" s="4">
        <f>IF(N16="5",I16,0)</f>
        <v>0</v>
      </c>
      <c r="Z16" s="4">
        <f>IF(AD16=0,J16,0)</f>
        <v>0</v>
      </c>
      <c r="AA16" s="4">
        <f>IF(AD16=9,J16,0)</f>
        <v>0</v>
      </c>
      <c r="AB16" s="4">
        <f>IF(AD16=19,J16,0)</f>
        <v>0</v>
      </c>
      <c r="AD16" s="4">
        <v>19</v>
      </c>
      <c r="AE16" s="4">
        <f>G16*0</f>
        <v>0</v>
      </c>
      <c r="AF16" s="4">
        <f>G16*(1-0)</f>
        <v>0</v>
      </c>
    </row>
    <row r="17" spans="1:37" ht="12.75">
      <c r="A17" s="37"/>
      <c r="B17" s="31"/>
      <c r="C17" s="32" t="s">
        <v>22</v>
      </c>
      <c r="D17" s="48" t="s">
        <v>114</v>
      </c>
      <c r="E17" s="49"/>
      <c r="F17" s="49"/>
      <c r="G17" s="49"/>
      <c r="H17" s="33">
        <f>SUM(H18:H20)</f>
        <v>0</v>
      </c>
      <c r="I17" s="33">
        <f>SUM(I18:I20)</f>
        <v>0</v>
      </c>
      <c r="J17" s="33">
        <f>H17+I17</f>
        <v>0</v>
      </c>
      <c r="K17" s="34"/>
      <c r="L17" s="38">
        <f>SUM(L18:L20)</f>
        <v>0</v>
      </c>
      <c r="P17" s="10">
        <f>IF(Q17="PR",J17,SUM(O18:O20))</f>
        <v>0</v>
      </c>
      <c r="Q17" s="6" t="s">
        <v>197</v>
      </c>
      <c r="R17" s="10">
        <f>IF(Q17="HS",H17,0)</f>
        <v>0</v>
      </c>
      <c r="S17" s="10">
        <f>IF(Q17="HS",I17-P17,0)</f>
        <v>0</v>
      </c>
      <c r="T17" s="10">
        <f>IF(Q17="PS",H17,0)</f>
        <v>0</v>
      </c>
      <c r="U17" s="10">
        <f>IF(Q17="PS",I17-P17,0)</f>
        <v>0</v>
      </c>
      <c r="V17" s="10">
        <f>IF(Q17="MP",H17,0)</f>
        <v>0</v>
      </c>
      <c r="W17" s="10">
        <f>IF(Q17="MP",I17-P17,0)</f>
        <v>0</v>
      </c>
      <c r="X17" s="10">
        <f>IF(Q17="OM",H17,0)</f>
        <v>0</v>
      </c>
      <c r="Y17" s="6"/>
      <c r="AI17" s="10">
        <f>SUM(Z18:Z20)</f>
        <v>0</v>
      </c>
      <c r="AJ17" s="10">
        <f>SUM(AA18:AA20)</f>
        <v>0</v>
      </c>
      <c r="AK17" s="10">
        <f>SUM(AB18:AB20)</f>
        <v>0</v>
      </c>
    </row>
    <row r="18" spans="1:32" ht="12.75">
      <c r="A18" s="39" t="s">
        <v>10</v>
      </c>
      <c r="B18" s="35"/>
      <c r="C18" s="35" t="s">
        <v>56</v>
      </c>
      <c r="D18" s="35" t="s">
        <v>115</v>
      </c>
      <c r="E18" s="35" t="s">
        <v>172</v>
      </c>
      <c r="F18" s="36">
        <v>45.74</v>
      </c>
      <c r="G18" s="36"/>
      <c r="H18" s="36">
        <f>ROUND(F18*AE18,2)</f>
        <v>0</v>
      </c>
      <c r="I18" s="36">
        <f>J18-H18</f>
        <v>0</v>
      </c>
      <c r="J18" s="36">
        <f>ROUND(F18*G18,2)</f>
        <v>0</v>
      </c>
      <c r="K18" s="36">
        <v>0</v>
      </c>
      <c r="L18" s="40">
        <f>F18*K18</f>
        <v>0</v>
      </c>
      <c r="N18" s="9" t="s">
        <v>7</v>
      </c>
      <c r="O18" s="4">
        <f>IF(N18="5",I18,0)</f>
        <v>0</v>
      </c>
      <c r="Z18" s="4">
        <f>IF(AD18=0,J18,0)</f>
        <v>0</v>
      </c>
      <c r="AA18" s="4">
        <f>IF(AD18=9,J18,0)</f>
        <v>0</v>
      </c>
      <c r="AB18" s="4">
        <f>IF(AD18=19,J18,0)</f>
        <v>0</v>
      </c>
      <c r="AD18" s="4">
        <v>19</v>
      </c>
      <c r="AE18" s="4">
        <f>G18*0</f>
        <v>0</v>
      </c>
      <c r="AF18" s="4">
        <f>G18*(1-0)</f>
        <v>0</v>
      </c>
    </row>
    <row r="19" spans="1:32" ht="12.75">
      <c r="A19" s="39" t="s">
        <v>11</v>
      </c>
      <c r="B19" s="35"/>
      <c r="C19" s="35" t="s">
        <v>57</v>
      </c>
      <c r="D19" s="35" t="s">
        <v>116</v>
      </c>
      <c r="E19" s="35" t="s">
        <v>172</v>
      </c>
      <c r="F19" s="36">
        <v>22.5</v>
      </c>
      <c r="G19" s="36"/>
      <c r="H19" s="36">
        <f>ROUND(F19*AE19,2)</f>
        <v>0</v>
      </c>
      <c r="I19" s="36">
        <f>J19-H19</f>
        <v>0</v>
      </c>
      <c r="J19" s="36">
        <f>ROUND(F19*G19,2)</f>
        <v>0</v>
      </c>
      <c r="K19" s="36">
        <v>0</v>
      </c>
      <c r="L19" s="40">
        <f>F19*K19</f>
        <v>0</v>
      </c>
      <c r="N19" s="9" t="s">
        <v>7</v>
      </c>
      <c r="O19" s="4">
        <f>IF(N19="5",I19,0)</f>
        <v>0</v>
      </c>
      <c r="Z19" s="4">
        <f>IF(AD19=0,J19,0)</f>
        <v>0</v>
      </c>
      <c r="AA19" s="4">
        <f>IF(AD19=9,J19,0)</f>
        <v>0</v>
      </c>
      <c r="AB19" s="4">
        <f>IF(AD19=19,J19,0)</f>
        <v>0</v>
      </c>
      <c r="AD19" s="4">
        <v>19</v>
      </c>
      <c r="AE19" s="4">
        <f>G19*0</f>
        <v>0</v>
      </c>
      <c r="AF19" s="4">
        <f>G19*(1-0)</f>
        <v>0</v>
      </c>
    </row>
    <row r="20" spans="1:32" ht="12.75">
      <c r="A20" s="39" t="s">
        <v>12</v>
      </c>
      <c r="B20" s="35"/>
      <c r="C20" s="35" t="s">
        <v>58</v>
      </c>
      <c r="D20" s="35" t="s">
        <v>117</v>
      </c>
      <c r="E20" s="35" t="s">
        <v>172</v>
      </c>
      <c r="F20" s="36">
        <v>22.5</v>
      </c>
      <c r="G20" s="36"/>
      <c r="H20" s="36">
        <f>ROUND(F20*AE20,2)</f>
        <v>0</v>
      </c>
      <c r="I20" s="36">
        <f>J20-H20</f>
        <v>0</v>
      </c>
      <c r="J20" s="36">
        <f>ROUND(F20*G20,2)</f>
        <v>0</v>
      </c>
      <c r="K20" s="36">
        <v>0</v>
      </c>
      <c r="L20" s="40">
        <f>F20*K20</f>
        <v>0</v>
      </c>
      <c r="N20" s="9" t="s">
        <v>7</v>
      </c>
      <c r="O20" s="4">
        <f>IF(N20="5",I20,0)</f>
        <v>0</v>
      </c>
      <c r="Z20" s="4">
        <f>IF(AD20=0,J20,0)</f>
        <v>0</v>
      </c>
      <c r="AA20" s="4">
        <f>IF(AD20=9,J20,0)</f>
        <v>0</v>
      </c>
      <c r="AB20" s="4">
        <f>IF(AD20=19,J20,0)</f>
        <v>0</v>
      </c>
      <c r="AD20" s="4">
        <v>19</v>
      </c>
      <c r="AE20" s="4">
        <f>G20*0</f>
        <v>0</v>
      </c>
      <c r="AF20" s="4">
        <f>G20*(1-0)</f>
        <v>0</v>
      </c>
    </row>
    <row r="21" spans="1:37" ht="12.75">
      <c r="A21" s="37"/>
      <c r="B21" s="31"/>
      <c r="C21" s="32" t="s">
        <v>23</v>
      </c>
      <c r="D21" s="48" t="s">
        <v>118</v>
      </c>
      <c r="E21" s="49"/>
      <c r="F21" s="49"/>
      <c r="G21" s="49"/>
      <c r="H21" s="33">
        <f>SUM(H22:H22)</f>
        <v>0</v>
      </c>
      <c r="I21" s="33">
        <f>SUM(I22:I22)</f>
        <v>0</v>
      </c>
      <c r="J21" s="33">
        <f>H21+I21</f>
        <v>0</v>
      </c>
      <c r="K21" s="34"/>
      <c r="L21" s="38">
        <f>SUM(L22:L22)</f>
        <v>0</v>
      </c>
      <c r="P21" s="10">
        <f>IF(Q21="PR",J21,SUM(O22:O22))</f>
        <v>0</v>
      </c>
      <c r="Q21" s="6" t="s">
        <v>197</v>
      </c>
      <c r="R21" s="10">
        <f>IF(Q21="HS",H21,0)</f>
        <v>0</v>
      </c>
      <c r="S21" s="10">
        <f>IF(Q21="HS",I21-P21,0)</f>
        <v>0</v>
      </c>
      <c r="T21" s="10">
        <f>IF(Q21="PS",H21,0)</f>
        <v>0</v>
      </c>
      <c r="U21" s="10">
        <f>IF(Q21="PS",I21-P21,0)</f>
        <v>0</v>
      </c>
      <c r="V21" s="10">
        <f>IF(Q21="MP",H21,0)</f>
        <v>0</v>
      </c>
      <c r="W21" s="10">
        <f>IF(Q21="MP",I21-P21,0)</f>
        <v>0</v>
      </c>
      <c r="X21" s="10">
        <f>IF(Q21="OM",H21,0)</f>
        <v>0</v>
      </c>
      <c r="Y21" s="6"/>
      <c r="AI21" s="10">
        <f>SUM(Z22:Z22)</f>
        <v>0</v>
      </c>
      <c r="AJ21" s="10">
        <f>SUM(AA22:AA22)</f>
        <v>0</v>
      </c>
      <c r="AK21" s="10">
        <f>SUM(AB22:AB22)</f>
        <v>0</v>
      </c>
    </row>
    <row r="22" spans="1:32" ht="12.75">
      <c r="A22" s="39" t="s">
        <v>13</v>
      </c>
      <c r="B22" s="35"/>
      <c r="C22" s="35" t="s">
        <v>59</v>
      </c>
      <c r="D22" s="35" t="s">
        <v>119</v>
      </c>
      <c r="E22" s="35" t="s">
        <v>172</v>
      </c>
      <c r="F22" s="36">
        <v>26.8</v>
      </c>
      <c r="G22" s="36"/>
      <c r="H22" s="36">
        <f>ROUND(F22*AE22,2)</f>
        <v>0</v>
      </c>
      <c r="I22" s="36">
        <f>J22-H22</f>
        <v>0</v>
      </c>
      <c r="J22" s="36">
        <f>ROUND(F22*G22,2)</f>
        <v>0</v>
      </c>
      <c r="K22" s="36">
        <v>0</v>
      </c>
      <c r="L22" s="40">
        <f>F22*K22</f>
        <v>0</v>
      </c>
      <c r="N22" s="9" t="s">
        <v>7</v>
      </c>
      <c r="O22" s="4">
        <f>IF(N22="5",I22,0)</f>
        <v>0</v>
      </c>
      <c r="Z22" s="4">
        <f>IF(AD22=0,J22,0)</f>
        <v>0</v>
      </c>
      <c r="AA22" s="4">
        <f>IF(AD22=9,J22,0)</f>
        <v>0</v>
      </c>
      <c r="AB22" s="4">
        <f>IF(AD22=19,J22,0)</f>
        <v>0</v>
      </c>
      <c r="AD22" s="4">
        <v>19</v>
      </c>
      <c r="AE22" s="4">
        <f>G22*0</f>
        <v>0</v>
      </c>
      <c r="AF22" s="4">
        <f>G22*(1-0)</f>
        <v>0</v>
      </c>
    </row>
    <row r="23" spans="1:37" ht="12.75">
      <c r="A23" s="37"/>
      <c r="B23" s="31"/>
      <c r="C23" s="32" t="s">
        <v>38</v>
      </c>
      <c r="D23" s="48" t="s">
        <v>120</v>
      </c>
      <c r="E23" s="49"/>
      <c r="F23" s="49"/>
      <c r="G23" s="49"/>
      <c r="H23" s="33">
        <f>SUM(H24:H28)</f>
        <v>0</v>
      </c>
      <c r="I23" s="33">
        <f>SUM(I24:I28)</f>
        <v>0</v>
      </c>
      <c r="J23" s="33">
        <f>H23+I23</f>
        <v>0</v>
      </c>
      <c r="K23" s="34"/>
      <c r="L23" s="38">
        <f>SUM(L24:L28)</f>
        <v>0.690213</v>
      </c>
      <c r="P23" s="10">
        <f>IF(Q23="PR",J23,SUM(O24:O28))</f>
        <v>0</v>
      </c>
      <c r="Q23" s="6" t="s">
        <v>197</v>
      </c>
      <c r="R23" s="10">
        <f>IF(Q23="HS",H23,0)</f>
        <v>0</v>
      </c>
      <c r="S23" s="10">
        <f>IF(Q23="HS",I23-P23,0)</f>
        <v>0</v>
      </c>
      <c r="T23" s="10">
        <f>IF(Q23="PS",H23,0)</f>
        <v>0</v>
      </c>
      <c r="U23" s="10">
        <f>IF(Q23="PS",I23-P23,0)</f>
        <v>0</v>
      </c>
      <c r="V23" s="10">
        <f>IF(Q23="MP",H23,0)</f>
        <v>0</v>
      </c>
      <c r="W23" s="10">
        <f>IF(Q23="MP",I23-P23,0)</f>
        <v>0</v>
      </c>
      <c r="X23" s="10">
        <f>IF(Q23="OM",H23,0)</f>
        <v>0</v>
      </c>
      <c r="Y23" s="6"/>
      <c r="AI23" s="10">
        <f>SUM(Z24:Z28)</f>
        <v>0</v>
      </c>
      <c r="AJ23" s="10">
        <f>SUM(AA24:AA28)</f>
        <v>0</v>
      </c>
      <c r="AK23" s="10">
        <f>SUM(AB24:AB28)</f>
        <v>0</v>
      </c>
    </row>
    <row r="24" spans="1:32" ht="12.75">
      <c r="A24" s="39" t="s">
        <v>14</v>
      </c>
      <c r="B24" s="35"/>
      <c r="C24" s="35" t="s">
        <v>60</v>
      </c>
      <c r="D24" s="35" t="s">
        <v>121</v>
      </c>
      <c r="E24" s="35" t="s">
        <v>172</v>
      </c>
      <c r="F24" s="36">
        <v>4.51</v>
      </c>
      <c r="G24" s="36"/>
      <c r="H24" s="36">
        <f>ROUND(F24*AE24,2)</f>
        <v>0</v>
      </c>
      <c r="I24" s="36">
        <f>J24-H24</f>
        <v>0</v>
      </c>
      <c r="J24" s="36">
        <f>ROUND(F24*G24,2)</f>
        <v>0</v>
      </c>
      <c r="K24" s="36">
        <v>0</v>
      </c>
      <c r="L24" s="40">
        <f>F24*K24</f>
        <v>0</v>
      </c>
      <c r="N24" s="9" t="s">
        <v>7</v>
      </c>
      <c r="O24" s="4">
        <f>IF(N24="5",I24,0)</f>
        <v>0</v>
      </c>
      <c r="Z24" s="4">
        <f>IF(AD24=0,J24,0)</f>
        <v>0</v>
      </c>
      <c r="AA24" s="4">
        <f>IF(AD24=9,J24,0)</f>
        <v>0</v>
      </c>
      <c r="AB24" s="4">
        <f>IF(AD24=19,J24,0)</f>
        <v>0</v>
      </c>
      <c r="AD24" s="4">
        <v>19</v>
      </c>
      <c r="AE24" s="4">
        <f>G24*0</f>
        <v>0</v>
      </c>
      <c r="AF24" s="4">
        <f>G24*(1-0)</f>
        <v>0</v>
      </c>
    </row>
    <row r="25" spans="1:32" ht="12.75">
      <c r="A25" s="39" t="s">
        <v>15</v>
      </c>
      <c r="B25" s="35"/>
      <c r="C25" s="35" t="s">
        <v>61</v>
      </c>
      <c r="D25" s="35" t="s">
        <v>122</v>
      </c>
      <c r="E25" s="35" t="s">
        <v>172</v>
      </c>
      <c r="F25" s="36">
        <v>8.44</v>
      </c>
      <c r="G25" s="36"/>
      <c r="H25" s="36">
        <f>ROUND(F25*AE25,2)</f>
        <v>0</v>
      </c>
      <c r="I25" s="36">
        <f>J25-H25</f>
        <v>0</v>
      </c>
      <c r="J25" s="36">
        <f>ROUND(F25*G25,2)</f>
        <v>0</v>
      </c>
      <c r="K25" s="36">
        <v>0</v>
      </c>
      <c r="L25" s="40">
        <f>F25*K25</f>
        <v>0</v>
      </c>
      <c r="N25" s="9" t="s">
        <v>7</v>
      </c>
      <c r="O25" s="4">
        <f>IF(N25="5",I25,0)</f>
        <v>0</v>
      </c>
      <c r="Z25" s="4">
        <f>IF(AD25=0,J25,0)</f>
        <v>0</v>
      </c>
      <c r="AA25" s="4">
        <f>IF(AD25=9,J25,0)</f>
        <v>0</v>
      </c>
      <c r="AB25" s="4">
        <f>IF(AD25=19,J25,0)</f>
        <v>0</v>
      </c>
      <c r="AD25" s="4">
        <v>19</v>
      </c>
      <c r="AE25" s="4">
        <f>G25*0</f>
        <v>0</v>
      </c>
      <c r="AF25" s="4">
        <f>G25*(1-0)</f>
        <v>0</v>
      </c>
    </row>
    <row r="26" spans="1:32" ht="12.75">
      <c r="A26" s="39" t="s">
        <v>16</v>
      </c>
      <c r="B26" s="35"/>
      <c r="C26" s="35" t="s">
        <v>62</v>
      </c>
      <c r="D26" s="35" t="s">
        <v>123</v>
      </c>
      <c r="E26" s="35" t="s">
        <v>173</v>
      </c>
      <c r="F26" s="36">
        <v>41.94</v>
      </c>
      <c r="G26" s="36"/>
      <c r="H26" s="36">
        <f>ROUND(F26*AE26,2)</f>
        <v>0</v>
      </c>
      <c r="I26" s="36">
        <f>J26-H26</f>
        <v>0</v>
      </c>
      <c r="J26" s="36">
        <f>ROUND(F26*G26,2)</f>
        <v>0</v>
      </c>
      <c r="K26" s="36">
        <v>0.01445</v>
      </c>
      <c r="L26" s="40">
        <f>F26*K26</f>
        <v>0.6060329999999999</v>
      </c>
      <c r="N26" s="9" t="s">
        <v>7</v>
      </c>
      <c r="O26" s="4">
        <f>IF(N26="5",I26,0)</f>
        <v>0</v>
      </c>
      <c r="Z26" s="4">
        <f>IF(AD26=0,J26,0)</f>
        <v>0</v>
      </c>
      <c r="AA26" s="4">
        <f>IF(AD26=9,J26,0)</f>
        <v>0</v>
      </c>
      <c r="AB26" s="4">
        <f>IF(AD26=19,J26,0)</f>
        <v>0</v>
      </c>
      <c r="AD26" s="4">
        <v>19</v>
      </c>
      <c r="AE26" s="4">
        <f>G26*0.212684822103105</f>
        <v>0</v>
      </c>
      <c r="AF26" s="4">
        <f>G26*(1-0.212684822103105)</f>
        <v>0</v>
      </c>
    </row>
    <row r="27" spans="1:32" ht="12.75">
      <c r="A27" s="39" t="s">
        <v>17</v>
      </c>
      <c r="B27" s="35"/>
      <c r="C27" s="35" t="s">
        <v>63</v>
      </c>
      <c r="D27" s="35" t="s">
        <v>124</v>
      </c>
      <c r="E27" s="35" t="s">
        <v>173</v>
      </c>
      <c r="F27" s="36">
        <v>41.94</v>
      </c>
      <c r="G27" s="36"/>
      <c r="H27" s="36">
        <f>ROUND(F27*AE27,2)</f>
        <v>0</v>
      </c>
      <c r="I27" s="36">
        <f>J27-H27</f>
        <v>0</v>
      </c>
      <c r="J27" s="36">
        <f>ROUND(F27*G27,2)</f>
        <v>0</v>
      </c>
      <c r="K27" s="36">
        <v>0.001</v>
      </c>
      <c r="L27" s="40">
        <f>F27*K27</f>
        <v>0.04194</v>
      </c>
      <c r="N27" s="9" t="s">
        <v>7</v>
      </c>
      <c r="O27" s="4">
        <f>IF(N27="5",I27,0)</f>
        <v>0</v>
      </c>
      <c r="Z27" s="4">
        <f>IF(AD27=0,J27,0)</f>
        <v>0</v>
      </c>
      <c r="AA27" s="4">
        <f>IF(AD27=9,J27,0)</f>
        <v>0</v>
      </c>
      <c r="AB27" s="4">
        <f>IF(AD27=19,J27,0)</f>
        <v>0</v>
      </c>
      <c r="AD27" s="4">
        <v>19</v>
      </c>
      <c r="AE27" s="4">
        <f>G27*0.200361173814898</f>
        <v>0</v>
      </c>
      <c r="AF27" s="4">
        <f>G27*(1-0.200361173814898)</f>
        <v>0</v>
      </c>
    </row>
    <row r="28" spans="1:32" ht="12.75">
      <c r="A28" s="39" t="s">
        <v>18</v>
      </c>
      <c r="B28" s="35"/>
      <c r="C28" s="35" t="s">
        <v>64</v>
      </c>
      <c r="D28" s="35" t="s">
        <v>125</v>
      </c>
      <c r="E28" s="35" t="s">
        <v>174</v>
      </c>
      <c r="F28" s="36">
        <v>0.04</v>
      </c>
      <c r="G28" s="36"/>
      <c r="H28" s="36">
        <f>ROUND(F28*AE28,2)</f>
        <v>0</v>
      </c>
      <c r="I28" s="36">
        <f>J28-H28</f>
        <v>0</v>
      </c>
      <c r="J28" s="36">
        <f>ROUND(F28*G28,2)</f>
        <v>0</v>
      </c>
      <c r="K28" s="36">
        <v>1.056</v>
      </c>
      <c r="L28" s="40">
        <f>F28*K28</f>
        <v>0.04224</v>
      </c>
      <c r="N28" s="9" t="s">
        <v>7</v>
      </c>
      <c r="O28" s="4">
        <f>IF(N28="5",I28,0)</f>
        <v>0</v>
      </c>
      <c r="Z28" s="4">
        <f>IF(AD28=0,J28,0)</f>
        <v>0</v>
      </c>
      <c r="AA28" s="4">
        <f>IF(AD28=9,J28,0)</f>
        <v>0</v>
      </c>
      <c r="AB28" s="4">
        <f>IF(AD28=19,J28,0)</f>
        <v>0</v>
      </c>
      <c r="AD28" s="4">
        <v>19</v>
      </c>
      <c r="AE28" s="4">
        <f>G28*0.817378654036209</f>
        <v>0</v>
      </c>
      <c r="AF28" s="4">
        <f>G28*(1-0.817378654036209)</f>
        <v>0</v>
      </c>
    </row>
    <row r="29" spans="1:37" ht="12.75">
      <c r="A29" s="37"/>
      <c r="B29" s="31"/>
      <c r="C29" s="32" t="s">
        <v>65</v>
      </c>
      <c r="D29" s="48" t="s">
        <v>126</v>
      </c>
      <c r="E29" s="49"/>
      <c r="F29" s="49"/>
      <c r="G29" s="49"/>
      <c r="H29" s="33">
        <f>SUM(H30:H33)</f>
        <v>0</v>
      </c>
      <c r="I29" s="33">
        <f>SUM(I30:I33)</f>
        <v>0</v>
      </c>
      <c r="J29" s="33">
        <f>H29+I29</f>
        <v>0</v>
      </c>
      <c r="K29" s="34"/>
      <c r="L29" s="38">
        <f>SUM(L30:L33)</f>
        <v>4.508890000000001</v>
      </c>
      <c r="P29" s="10">
        <f>IF(Q29="PR",J29,SUM(O30:O33))</f>
        <v>0</v>
      </c>
      <c r="Q29" s="6" t="s">
        <v>197</v>
      </c>
      <c r="R29" s="10">
        <f>IF(Q29="HS",H29,0)</f>
        <v>0</v>
      </c>
      <c r="S29" s="10">
        <f>IF(Q29="HS",I29-P29,0)</f>
        <v>0</v>
      </c>
      <c r="T29" s="10">
        <f>IF(Q29="PS",H29,0)</f>
        <v>0</v>
      </c>
      <c r="U29" s="10">
        <f>IF(Q29="PS",I29-P29,0)</f>
        <v>0</v>
      </c>
      <c r="V29" s="10">
        <f>IF(Q29="MP",H29,0)</f>
        <v>0</v>
      </c>
      <c r="W29" s="10">
        <f>IF(Q29="MP",I29-P29,0)</f>
        <v>0</v>
      </c>
      <c r="X29" s="10">
        <f>IF(Q29="OM",H29,0)</f>
        <v>0</v>
      </c>
      <c r="Y29" s="6"/>
      <c r="AI29" s="10">
        <f>SUM(Z30:Z33)</f>
        <v>0</v>
      </c>
      <c r="AJ29" s="10">
        <f>SUM(AA30:AA33)</f>
        <v>0</v>
      </c>
      <c r="AK29" s="10">
        <f>SUM(AB30:AB33)</f>
        <v>0</v>
      </c>
    </row>
    <row r="30" spans="1:32" ht="12.75">
      <c r="A30" s="39" t="s">
        <v>19</v>
      </c>
      <c r="B30" s="35"/>
      <c r="C30" s="35" t="s">
        <v>66</v>
      </c>
      <c r="D30" s="35" t="s">
        <v>127</v>
      </c>
      <c r="E30" s="35" t="s">
        <v>173</v>
      </c>
      <c r="F30" s="36">
        <v>2.75</v>
      </c>
      <c r="G30" s="36"/>
      <c r="H30" s="36">
        <f>ROUND(F30*AE30,2)</f>
        <v>0</v>
      </c>
      <c r="I30" s="36">
        <f>J30-H30</f>
        <v>0</v>
      </c>
      <c r="J30" s="36">
        <f>ROUND(F30*G30,2)</f>
        <v>0</v>
      </c>
      <c r="K30" s="36">
        <v>0.248</v>
      </c>
      <c r="L30" s="40">
        <f>F30*K30</f>
        <v>0.6819999999999999</v>
      </c>
      <c r="N30" s="9" t="s">
        <v>7</v>
      </c>
      <c r="O30" s="4">
        <f>IF(N30="5",I30,0)</f>
        <v>0</v>
      </c>
      <c r="Z30" s="4">
        <f>IF(AD30=0,J30,0)</f>
        <v>0</v>
      </c>
      <c r="AA30" s="4">
        <f>IF(AD30=9,J30,0)</f>
        <v>0</v>
      </c>
      <c r="AB30" s="4">
        <f>IF(AD30=19,J30,0)</f>
        <v>0</v>
      </c>
      <c r="AD30" s="4">
        <v>19</v>
      </c>
      <c r="AE30" s="4">
        <f>G30*0.820347003154574</f>
        <v>0</v>
      </c>
      <c r="AF30" s="4">
        <f>G30*(1-0.820347003154574)</f>
        <v>0</v>
      </c>
    </row>
    <row r="31" spans="1:32" ht="12.75">
      <c r="A31" s="39" t="s">
        <v>20</v>
      </c>
      <c r="B31" s="35"/>
      <c r="C31" s="35" t="s">
        <v>67</v>
      </c>
      <c r="D31" s="35" t="s">
        <v>128</v>
      </c>
      <c r="E31" s="35" t="s">
        <v>173</v>
      </c>
      <c r="F31" s="36">
        <v>2.75</v>
      </c>
      <c r="G31" s="36"/>
      <c r="H31" s="36">
        <f>ROUND(F31*AE31,2)</f>
        <v>0</v>
      </c>
      <c r="I31" s="36">
        <f>J31-H31</f>
        <v>0</v>
      </c>
      <c r="J31" s="36">
        <f>ROUND(F31*G31,2)</f>
        <v>0</v>
      </c>
      <c r="K31" s="36">
        <v>0.213</v>
      </c>
      <c r="L31" s="40">
        <f>F31*K31</f>
        <v>0.58575</v>
      </c>
      <c r="N31" s="9" t="s">
        <v>7</v>
      </c>
      <c r="O31" s="4">
        <f>IF(N31="5",I31,0)</f>
        <v>0</v>
      </c>
      <c r="Z31" s="4">
        <f>IF(AD31=0,J31,0)</f>
        <v>0</v>
      </c>
      <c r="AA31" s="4">
        <f>IF(AD31=9,J31,0)</f>
        <v>0</v>
      </c>
      <c r="AB31" s="4">
        <f>IF(AD31=19,J31,0)</f>
        <v>0</v>
      </c>
      <c r="AD31" s="4">
        <v>19</v>
      </c>
      <c r="AE31" s="4">
        <f>G31*0.572341396622547</f>
        <v>0</v>
      </c>
      <c r="AF31" s="4">
        <f>G31*(1-0.572341396622547)</f>
        <v>0</v>
      </c>
    </row>
    <row r="32" spans="1:32" ht="12.75">
      <c r="A32" s="39" t="s">
        <v>21</v>
      </c>
      <c r="B32" s="35"/>
      <c r="C32" s="35" t="s">
        <v>68</v>
      </c>
      <c r="D32" s="35" t="s">
        <v>129</v>
      </c>
      <c r="E32" s="35" t="s">
        <v>172</v>
      </c>
      <c r="F32" s="36">
        <v>0.54</v>
      </c>
      <c r="G32" s="36"/>
      <c r="H32" s="36">
        <f>ROUND(F32*AE32,2)</f>
        <v>0</v>
      </c>
      <c r="I32" s="36">
        <f>J32-H32</f>
        <v>0</v>
      </c>
      <c r="J32" s="36">
        <f>ROUND(F32*G32,2)</f>
        <v>0</v>
      </c>
      <c r="K32" s="36">
        <v>1.891</v>
      </c>
      <c r="L32" s="40">
        <f>F32*K32</f>
        <v>1.0211400000000002</v>
      </c>
      <c r="N32" s="9" t="s">
        <v>7</v>
      </c>
      <c r="O32" s="4">
        <f>IF(N32="5",I32,0)</f>
        <v>0</v>
      </c>
      <c r="Z32" s="4">
        <f>IF(AD32=0,J32,0)</f>
        <v>0</v>
      </c>
      <c r="AA32" s="4">
        <f>IF(AD32=9,J32,0)</f>
        <v>0</v>
      </c>
      <c r="AB32" s="4">
        <f>IF(AD32=19,J32,0)</f>
        <v>0</v>
      </c>
      <c r="AD32" s="4">
        <v>19</v>
      </c>
      <c r="AE32" s="4">
        <f>G32*0.665948432142376</f>
        <v>0</v>
      </c>
      <c r="AF32" s="4">
        <f>G32*(1-0.665948432142376)</f>
        <v>0</v>
      </c>
    </row>
    <row r="33" spans="1:32" ht="12.75">
      <c r="A33" s="39" t="s">
        <v>22</v>
      </c>
      <c r="B33" s="35"/>
      <c r="C33" s="35" t="s">
        <v>69</v>
      </c>
      <c r="D33" s="35" t="s">
        <v>130</v>
      </c>
      <c r="E33" s="35" t="s">
        <v>172</v>
      </c>
      <c r="F33" s="36">
        <v>1.11</v>
      </c>
      <c r="G33" s="36"/>
      <c r="H33" s="36">
        <f>ROUND(F33*AE33,2)</f>
        <v>0</v>
      </c>
      <c r="I33" s="36">
        <f>J33-H33</f>
        <v>0</v>
      </c>
      <c r="J33" s="36">
        <f>ROUND(F33*G33,2)</f>
        <v>0</v>
      </c>
      <c r="K33" s="36">
        <v>2</v>
      </c>
      <c r="L33" s="40">
        <f>F33*K33</f>
        <v>2.22</v>
      </c>
      <c r="N33" s="9" t="s">
        <v>7</v>
      </c>
      <c r="O33" s="4">
        <f>IF(N33="5",I33,0)</f>
        <v>0</v>
      </c>
      <c r="Z33" s="4">
        <f>IF(AD33=0,J33,0)</f>
        <v>0</v>
      </c>
      <c r="AA33" s="4">
        <f>IF(AD33=9,J33,0)</f>
        <v>0</v>
      </c>
      <c r="AB33" s="4">
        <f>IF(AD33=19,J33,0)</f>
        <v>0</v>
      </c>
      <c r="AD33" s="4">
        <v>19</v>
      </c>
      <c r="AE33" s="4">
        <f>G33*0.655789158316729</f>
        <v>0</v>
      </c>
      <c r="AF33" s="4">
        <f>G33*(1-0.655789158316729)</f>
        <v>0</v>
      </c>
    </row>
    <row r="34" spans="1:37" ht="12.75">
      <c r="A34" s="37"/>
      <c r="B34" s="31"/>
      <c r="C34" s="32" t="s">
        <v>70</v>
      </c>
      <c r="D34" s="48" t="s">
        <v>131</v>
      </c>
      <c r="E34" s="49"/>
      <c r="F34" s="49"/>
      <c r="G34" s="49"/>
      <c r="H34" s="33">
        <f>SUM(H35:H35)</f>
        <v>0</v>
      </c>
      <c r="I34" s="33">
        <f>SUM(I35:I35)</f>
        <v>0</v>
      </c>
      <c r="J34" s="33">
        <f>H34+I34</f>
        <v>0</v>
      </c>
      <c r="K34" s="34"/>
      <c r="L34" s="38">
        <f>SUM(L35:L35)</f>
        <v>2.266</v>
      </c>
      <c r="P34" s="10">
        <f>IF(Q34="PR",J34,SUM(O35:O35))</f>
        <v>0</v>
      </c>
      <c r="Q34" s="6" t="s">
        <v>197</v>
      </c>
      <c r="R34" s="10">
        <f>IF(Q34="HS",H34,0)</f>
        <v>0</v>
      </c>
      <c r="S34" s="10">
        <f>IF(Q34="HS",I34-P34,0)</f>
        <v>0</v>
      </c>
      <c r="T34" s="10">
        <f>IF(Q34="PS",H34,0)</f>
        <v>0</v>
      </c>
      <c r="U34" s="10">
        <f>IF(Q34="PS",I34-P34,0)</f>
        <v>0</v>
      </c>
      <c r="V34" s="10">
        <f>IF(Q34="MP",H34,0)</f>
        <v>0</v>
      </c>
      <c r="W34" s="10">
        <f>IF(Q34="MP",I34-P34,0)</f>
        <v>0</v>
      </c>
      <c r="X34" s="10">
        <f>IF(Q34="OM",H34,0)</f>
        <v>0</v>
      </c>
      <c r="Y34" s="6"/>
      <c r="AI34" s="10">
        <f>SUM(Z35:Z35)</f>
        <v>0</v>
      </c>
      <c r="AJ34" s="10">
        <f>SUM(AA35:AA35)</f>
        <v>0</v>
      </c>
      <c r="AK34" s="10">
        <f>SUM(AB35:AB35)</f>
        <v>0</v>
      </c>
    </row>
    <row r="35" spans="1:32" ht="12.75">
      <c r="A35" s="39" t="s">
        <v>23</v>
      </c>
      <c r="B35" s="35"/>
      <c r="C35" s="35" t="s">
        <v>71</v>
      </c>
      <c r="D35" s="35" t="s">
        <v>132</v>
      </c>
      <c r="E35" s="35" t="s">
        <v>173</v>
      </c>
      <c r="F35" s="36">
        <v>2.75</v>
      </c>
      <c r="G35" s="36"/>
      <c r="H35" s="36">
        <f>ROUND(F35*AE35,2)</f>
        <v>0</v>
      </c>
      <c r="I35" s="36">
        <f>J35-H35</f>
        <v>0</v>
      </c>
      <c r="J35" s="36">
        <f>ROUND(F35*G35,2)</f>
        <v>0</v>
      </c>
      <c r="K35" s="36">
        <v>0.824</v>
      </c>
      <c r="L35" s="40">
        <f>F35*K35</f>
        <v>2.266</v>
      </c>
      <c r="N35" s="9" t="s">
        <v>7</v>
      </c>
      <c r="O35" s="4">
        <f>IF(N35="5",I35,0)</f>
        <v>0</v>
      </c>
      <c r="Z35" s="4">
        <f>IF(AD35=0,J35,0)</f>
        <v>0</v>
      </c>
      <c r="AA35" s="4">
        <f>IF(AD35=9,J35,0)</f>
        <v>0</v>
      </c>
      <c r="AB35" s="4">
        <f>IF(AD35=19,J35,0)</f>
        <v>0</v>
      </c>
      <c r="AD35" s="4">
        <v>19</v>
      </c>
      <c r="AE35" s="4">
        <f>G35*0.708114526541125</f>
        <v>0</v>
      </c>
      <c r="AF35" s="4">
        <f>G35*(1-0.708114526541125)</f>
        <v>0</v>
      </c>
    </row>
    <row r="36" spans="1:37" ht="12.75">
      <c r="A36" s="37"/>
      <c r="B36" s="31"/>
      <c r="C36" s="32" t="s">
        <v>72</v>
      </c>
      <c r="D36" s="48" t="s">
        <v>133</v>
      </c>
      <c r="E36" s="49"/>
      <c r="F36" s="49"/>
      <c r="G36" s="49"/>
      <c r="H36" s="33">
        <f>SUM(H37:H38)</f>
        <v>0</v>
      </c>
      <c r="I36" s="33">
        <f>SUM(I37:I38)</f>
        <v>0</v>
      </c>
      <c r="J36" s="33">
        <f>H36+I36</f>
        <v>0</v>
      </c>
      <c r="K36" s="34"/>
      <c r="L36" s="38">
        <f>SUM(L37:L38)</f>
        <v>0.0032490000000000006</v>
      </c>
      <c r="P36" s="10">
        <f>IF(Q36="PR",J36,SUM(O37:O38))</f>
        <v>0</v>
      </c>
      <c r="Q36" s="6" t="s">
        <v>198</v>
      </c>
      <c r="R36" s="10">
        <f>IF(Q36="HS",H36,0)</f>
        <v>0</v>
      </c>
      <c r="S36" s="10">
        <f>IF(Q36="HS",I36-P36,0)</f>
        <v>0</v>
      </c>
      <c r="T36" s="10">
        <f>IF(Q36="PS",H36,0)</f>
        <v>0</v>
      </c>
      <c r="U36" s="10">
        <f>IF(Q36="PS",I36-P36,0)</f>
        <v>0</v>
      </c>
      <c r="V36" s="10">
        <f>IF(Q36="MP",H36,0)</f>
        <v>0</v>
      </c>
      <c r="W36" s="10">
        <f>IF(Q36="MP",I36-P36,0)</f>
        <v>0</v>
      </c>
      <c r="X36" s="10">
        <f>IF(Q36="OM",H36,0)</f>
        <v>0</v>
      </c>
      <c r="Y36" s="6"/>
      <c r="AI36" s="10">
        <f>SUM(Z37:Z38)</f>
        <v>0</v>
      </c>
      <c r="AJ36" s="10">
        <f>SUM(AA37:AA38)</f>
        <v>0</v>
      </c>
      <c r="AK36" s="10">
        <f>SUM(AB37:AB38)</f>
        <v>0</v>
      </c>
    </row>
    <row r="37" spans="1:32" ht="12.75">
      <c r="A37" s="39" t="s">
        <v>24</v>
      </c>
      <c r="B37" s="35"/>
      <c r="C37" s="35" t="s">
        <v>73</v>
      </c>
      <c r="D37" s="35" t="s">
        <v>134</v>
      </c>
      <c r="E37" s="35" t="s">
        <v>173</v>
      </c>
      <c r="F37" s="36">
        <v>5.9</v>
      </c>
      <c r="G37" s="36"/>
      <c r="H37" s="36">
        <f>ROUND(F37*AE37,2)</f>
        <v>0</v>
      </c>
      <c r="I37" s="36">
        <f>J37-H37</f>
        <v>0</v>
      </c>
      <c r="J37" s="36">
        <f>ROUND(F37*G37,2)</f>
        <v>0</v>
      </c>
      <c r="K37" s="36">
        <v>0.00036</v>
      </c>
      <c r="L37" s="40">
        <f>F37*K37</f>
        <v>0.0021240000000000005</v>
      </c>
      <c r="N37" s="9" t="s">
        <v>7</v>
      </c>
      <c r="O37" s="4">
        <f>IF(N37="5",I37,0)</f>
        <v>0</v>
      </c>
      <c r="Z37" s="4">
        <f>IF(AD37=0,J37,0)</f>
        <v>0</v>
      </c>
      <c r="AA37" s="4">
        <f>IF(AD37=9,J37,0)</f>
        <v>0</v>
      </c>
      <c r="AB37" s="4">
        <f>IF(AD37=19,J37,0)</f>
        <v>0</v>
      </c>
      <c r="AD37" s="4">
        <v>19</v>
      </c>
      <c r="AE37" s="4">
        <f>G37*0.196044937914723</f>
        <v>0</v>
      </c>
      <c r="AF37" s="4">
        <f>G37*(1-0.196044937914723)</f>
        <v>0</v>
      </c>
    </row>
    <row r="38" spans="1:32" ht="12.75">
      <c r="A38" s="39" t="s">
        <v>25</v>
      </c>
      <c r="B38" s="35"/>
      <c r="C38" s="35" t="s">
        <v>74</v>
      </c>
      <c r="D38" s="35" t="s">
        <v>135</v>
      </c>
      <c r="E38" s="35" t="s">
        <v>175</v>
      </c>
      <c r="F38" s="36">
        <v>12.5</v>
      </c>
      <c r="G38" s="36"/>
      <c r="H38" s="36">
        <f>ROUND(F38*AE38,2)</f>
        <v>0</v>
      </c>
      <c r="I38" s="36">
        <f>J38-H38</f>
        <v>0</v>
      </c>
      <c r="J38" s="36">
        <f>ROUND(F38*G38,2)</f>
        <v>0</v>
      </c>
      <c r="K38" s="36">
        <v>9E-05</v>
      </c>
      <c r="L38" s="40">
        <f>F38*K38</f>
        <v>0.0011250000000000001</v>
      </c>
      <c r="N38" s="9" t="s">
        <v>7</v>
      </c>
      <c r="O38" s="4">
        <f>IF(N38="5",I38,0)</f>
        <v>0</v>
      </c>
      <c r="Z38" s="4">
        <f>IF(AD38=0,J38,0)</f>
        <v>0</v>
      </c>
      <c r="AA38" s="4">
        <f>IF(AD38=9,J38,0)</f>
        <v>0</v>
      </c>
      <c r="AB38" s="4">
        <f>IF(AD38=19,J38,0)</f>
        <v>0</v>
      </c>
      <c r="AD38" s="4">
        <v>19</v>
      </c>
      <c r="AE38" s="4">
        <f>G38*0.210409252669039</f>
        <v>0</v>
      </c>
      <c r="AF38" s="4">
        <f>G38*(1-0.210409252669039)</f>
        <v>0</v>
      </c>
    </row>
    <row r="39" spans="1:37" ht="12.75">
      <c r="A39" s="37"/>
      <c r="B39" s="31"/>
      <c r="C39" s="32" t="s">
        <v>75</v>
      </c>
      <c r="D39" s="48" t="s">
        <v>136</v>
      </c>
      <c r="E39" s="49"/>
      <c r="F39" s="49"/>
      <c r="G39" s="49"/>
      <c r="H39" s="33">
        <f>SUM(H40:H40)</f>
        <v>0</v>
      </c>
      <c r="I39" s="33">
        <f>SUM(I40:I40)</f>
        <v>0</v>
      </c>
      <c r="J39" s="33">
        <f>H39+I39</f>
        <v>0</v>
      </c>
      <c r="K39" s="34"/>
      <c r="L39" s="38">
        <f>SUM(L40:L40)</f>
        <v>0.032</v>
      </c>
      <c r="P39" s="10">
        <f>IF(Q39="PR",J39,SUM(O40:O40))</f>
        <v>0</v>
      </c>
      <c r="Q39" s="6" t="s">
        <v>197</v>
      </c>
      <c r="R39" s="10">
        <f>IF(Q39="HS",H39,0)</f>
        <v>0</v>
      </c>
      <c r="S39" s="10">
        <f>IF(Q39="HS",I39-P39,0)</f>
        <v>0</v>
      </c>
      <c r="T39" s="10">
        <f>IF(Q39="PS",H39,0)</f>
        <v>0</v>
      </c>
      <c r="U39" s="10">
        <f>IF(Q39="PS",I39-P39,0)</f>
        <v>0</v>
      </c>
      <c r="V39" s="10">
        <f>IF(Q39="MP",H39,0)</f>
        <v>0</v>
      </c>
      <c r="W39" s="10">
        <f>IF(Q39="MP",I39-P39,0)</f>
        <v>0</v>
      </c>
      <c r="X39" s="10">
        <f>IF(Q39="OM",H39,0)</f>
        <v>0</v>
      </c>
      <c r="Y39" s="6"/>
      <c r="AI39" s="10">
        <f>SUM(Z40:Z40)</f>
        <v>0</v>
      </c>
      <c r="AJ39" s="10">
        <f>SUM(AA40:AA40)</f>
        <v>0</v>
      </c>
      <c r="AK39" s="10">
        <f>SUM(AB40:AB40)</f>
        <v>0</v>
      </c>
    </row>
    <row r="40" spans="1:32" ht="12.75">
      <c r="A40" s="39" t="s">
        <v>26</v>
      </c>
      <c r="B40" s="35"/>
      <c r="C40" s="35" t="s">
        <v>76</v>
      </c>
      <c r="D40" s="35" t="s">
        <v>137</v>
      </c>
      <c r="E40" s="35" t="s">
        <v>175</v>
      </c>
      <c r="F40" s="36">
        <v>16</v>
      </c>
      <c r="G40" s="36"/>
      <c r="H40" s="36">
        <f>ROUND(F40*AE40,2)</f>
        <v>0</v>
      </c>
      <c r="I40" s="36">
        <f>J40-H40</f>
        <v>0</v>
      </c>
      <c r="J40" s="36">
        <f>ROUND(F40*G40,2)</f>
        <v>0</v>
      </c>
      <c r="K40" s="36">
        <v>0.002</v>
      </c>
      <c r="L40" s="40">
        <f>F40*K40</f>
        <v>0.032</v>
      </c>
      <c r="N40" s="9" t="s">
        <v>7</v>
      </c>
      <c r="O40" s="4">
        <f>IF(N40="5",I40,0)</f>
        <v>0</v>
      </c>
      <c r="Z40" s="4">
        <f>IF(AD40=0,J40,0)</f>
        <v>0</v>
      </c>
      <c r="AA40" s="4">
        <f>IF(AD40=9,J40,0)</f>
        <v>0</v>
      </c>
      <c r="AB40" s="4">
        <f>IF(AD40=19,J40,0)</f>
        <v>0</v>
      </c>
      <c r="AD40" s="4">
        <v>19</v>
      </c>
      <c r="AE40" s="4">
        <f>G40*0.00361016238240757</f>
        <v>0</v>
      </c>
      <c r="AF40" s="4">
        <f>G40*(1-0.00361016238240757)</f>
        <v>0</v>
      </c>
    </row>
    <row r="41" spans="1:37" ht="12.75">
      <c r="A41" s="37"/>
      <c r="B41" s="31"/>
      <c r="C41" s="32" t="s">
        <v>77</v>
      </c>
      <c r="D41" s="48" t="s">
        <v>138</v>
      </c>
      <c r="E41" s="49"/>
      <c r="F41" s="49"/>
      <c r="G41" s="49"/>
      <c r="H41" s="33">
        <f>SUM(H42:H46)</f>
        <v>0</v>
      </c>
      <c r="I41" s="33">
        <f>SUM(I42:I46)</f>
        <v>0</v>
      </c>
      <c r="J41" s="33">
        <f>H41+I41</f>
        <v>0</v>
      </c>
      <c r="K41" s="34"/>
      <c r="L41" s="38">
        <f>SUM(L42:L46)</f>
        <v>2.5147999999999997</v>
      </c>
      <c r="P41" s="10">
        <f>IF(Q41="PR",J41,SUM(O42:O46))</f>
        <v>0</v>
      </c>
      <c r="Q41" s="6" t="s">
        <v>197</v>
      </c>
      <c r="R41" s="10">
        <f>IF(Q41="HS",H41,0)</f>
        <v>0</v>
      </c>
      <c r="S41" s="10">
        <f>IF(Q41="HS",I41-P41,0)</f>
        <v>0</v>
      </c>
      <c r="T41" s="10">
        <f>IF(Q41="PS",H41,0)</f>
        <v>0</v>
      </c>
      <c r="U41" s="10">
        <f>IF(Q41="PS",I41-P41,0)</f>
        <v>0</v>
      </c>
      <c r="V41" s="10">
        <f>IF(Q41="MP",H41,0)</f>
        <v>0</v>
      </c>
      <c r="W41" s="10">
        <f>IF(Q41="MP",I41-P41,0)</f>
        <v>0</v>
      </c>
      <c r="X41" s="10">
        <f>IF(Q41="OM",H41,0)</f>
        <v>0</v>
      </c>
      <c r="Y41" s="6"/>
      <c r="AI41" s="10">
        <f>SUM(Z42:Z46)</f>
        <v>0</v>
      </c>
      <c r="AJ41" s="10">
        <f>SUM(AA42:AA46)</f>
        <v>0</v>
      </c>
      <c r="AK41" s="10">
        <f>SUM(AB42:AB46)</f>
        <v>0</v>
      </c>
    </row>
    <row r="42" spans="1:32" ht="12.75">
      <c r="A42" s="39" t="s">
        <v>27</v>
      </c>
      <c r="B42" s="35"/>
      <c r="C42" s="35" t="s">
        <v>78</v>
      </c>
      <c r="D42" s="35" t="s">
        <v>139</v>
      </c>
      <c r="E42" s="35" t="s">
        <v>176</v>
      </c>
      <c r="F42" s="36">
        <v>1</v>
      </c>
      <c r="G42" s="36"/>
      <c r="H42" s="36">
        <f>ROUND(F42*AE42,2)</f>
        <v>0</v>
      </c>
      <c r="I42" s="36">
        <f>J42-H42</f>
        <v>0</v>
      </c>
      <c r="J42" s="36">
        <f>ROUND(F42*G42,2)</f>
        <v>0</v>
      </c>
      <c r="K42" s="36">
        <v>0.039</v>
      </c>
      <c r="L42" s="40">
        <f>F42*K42</f>
        <v>0.039</v>
      </c>
      <c r="N42" s="9" t="s">
        <v>7</v>
      </c>
      <c r="O42" s="4">
        <f>IF(N42="5",I42,0)</f>
        <v>0</v>
      </c>
      <c r="Z42" s="4">
        <f>IF(AD42=0,J42,0)</f>
        <v>0</v>
      </c>
      <c r="AA42" s="4">
        <f>IF(AD42=9,J42,0)</f>
        <v>0</v>
      </c>
      <c r="AB42" s="4">
        <f>IF(AD42=19,J42,0)</f>
        <v>0</v>
      </c>
      <c r="AD42" s="4">
        <v>19</v>
      </c>
      <c r="AE42" s="4">
        <f>G42*0.169837517355248</f>
        <v>0</v>
      </c>
      <c r="AF42" s="4">
        <f>G42*(1-0.169837517355248)</f>
        <v>0</v>
      </c>
    </row>
    <row r="43" spans="1:32" ht="12.75">
      <c r="A43" s="39" t="s">
        <v>28</v>
      </c>
      <c r="B43" s="35"/>
      <c r="C43" s="35" t="s">
        <v>79</v>
      </c>
      <c r="D43" s="35" t="s">
        <v>140</v>
      </c>
      <c r="E43" s="35" t="s">
        <v>176</v>
      </c>
      <c r="F43" s="36">
        <v>1</v>
      </c>
      <c r="G43" s="36"/>
      <c r="H43" s="36">
        <f>ROUND(F43*AE43,2)</f>
        <v>0</v>
      </c>
      <c r="I43" s="36">
        <f>J43-H43</f>
        <v>0</v>
      </c>
      <c r="J43" s="36">
        <f>ROUND(F43*G43,2)</f>
        <v>0</v>
      </c>
      <c r="K43" s="36">
        <v>2.263</v>
      </c>
      <c r="L43" s="40">
        <f>F43*K43</f>
        <v>2.263</v>
      </c>
      <c r="N43" s="9" t="s">
        <v>7</v>
      </c>
      <c r="O43" s="4">
        <f>IF(N43="5",I43,0)</f>
        <v>0</v>
      </c>
      <c r="Z43" s="4">
        <f>IF(AD43=0,J43,0)</f>
        <v>0</v>
      </c>
      <c r="AA43" s="4">
        <f>IF(AD43=9,J43,0)</f>
        <v>0</v>
      </c>
      <c r="AB43" s="4">
        <f>IF(AD43=19,J43,0)</f>
        <v>0</v>
      </c>
      <c r="AD43" s="4">
        <v>19</v>
      </c>
      <c r="AE43" s="4">
        <f>G43*0.301191362620998</f>
        <v>0</v>
      </c>
      <c r="AF43" s="4">
        <f>G43*(1-0.301191362620998)</f>
        <v>0</v>
      </c>
    </row>
    <row r="44" spans="1:32" ht="12.75">
      <c r="A44" s="39" t="s">
        <v>29</v>
      </c>
      <c r="B44" s="35"/>
      <c r="C44" s="35" t="s">
        <v>80</v>
      </c>
      <c r="D44" s="35" t="s">
        <v>141</v>
      </c>
      <c r="E44" s="35" t="s">
        <v>176</v>
      </c>
      <c r="F44" s="36">
        <v>7</v>
      </c>
      <c r="G44" s="36"/>
      <c r="H44" s="36">
        <f>ROUND(F44*AE44,2)</f>
        <v>0</v>
      </c>
      <c r="I44" s="36">
        <f>J44-H44</f>
        <v>0</v>
      </c>
      <c r="J44" s="36">
        <f>ROUND(F44*G44,2)</f>
        <v>0</v>
      </c>
      <c r="K44" s="36">
        <v>0.014</v>
      </c>
      <c r="L44" s="40">
        <f>F44*K44</f>
        <v>0.098</v>
      </c>
      <c r="N44" s="9" t="s">
        <v>7</v>
      </c>
      <c r="O44" s="4">
        <f>IF(N44="5",I44,0)</f>
        <v>0</v>
      </c>
      <c r="Z44" s="4">
        <f>IF(AD44=0,J44,0)</f>
        <v>0</v>
      </c>
      <c r="AA44" s="4">
        <f>IF(AD44=9,J44,0)</f>
        <v>0</v>
      </c>
      <c r="AB44" s="4">
        <f>IF(AD44=19,J44,0)</f>
        <v>0</v>
      </c>
      <c r="AD44" s="4">
        <v>19</v>
      </c>
      <c r="AE44" s="4">
        <f>G44*0.477836566725456</f>
        <v>0</v>
      </c>
      <c r="AF44" s="4">
        <f>G44*(1-0.477836566725456)</f>
        <v>0</v>
      </c>
    </row>
    <row r="45" spans="1:32" ht="12.75">
      <c r="A45" s="39" t="s">
        <v>30</v>
      </c>
      <c r="B45" s="35"/>
      <c r="C45" s="35" t="s">
        <v>81</v>
      </c>
      <c r="D45" s="35" t="s">
        <v>142</v>
      </c>
      <c r="E45" s="35" t="s">
        <v>172</v>
      </c>
      <c r="F45" s="36">
        <v>6.96</v>
      </c>
      <c r="G45" s="36"/>
      <c r="H45" s="36">
        <f>ROUND(F45*AE45,2)</f>
        <v>0</v>
      </c>
      <c r="I45" s="36">
        <f>J45-H45</f>
        <v>0</v>
      </c>
      <c r="J45" s="36">
        <f>ROUND(F45*G45,2)</f>
        <v>0</v>
      </c>
      <c r="K45" s="36">
        <v>0</v>
      </c>
      <c r="L45" s="40">
        <f>F45*K45</f>
        <v>0</v>
      </c>
      <c r="N45" s="9" t="s">
        <v>7</v>
      </c>
      <c r="O45" s="4">
        <f>IF(N45="5",I45,0)</f>
        <v>0</v>
      </c>
      <c r="Z45" s="4">
        <f>IF(AD45=0,J45,0)</f>
        <v>0</v>
      </c>
      <c r="AA45" s="4">
        <f>IF(AD45=9,J45,0)</f>
        <v>0</v>
      </c>
      <c r="AB45" s="4">
        <f>IF(AD45=19,J45,0)</f>
        <v>0</v>
      </c>
      <c r="AD45" s="4">
        <v>19</v>
      </c>
      <c r="AE45" s="4">
        <f>G45*0</f>
        <v>0</v>
      </c>
      <c r="AF45" s="4">
        <f>G45*(1-0)</f>
        <v>0</v>
      </c>
    </row>
    <row r="46" spans="1:32" ht="12.75">
      <c r="A46" s="39" t="s">
        <v>31</v>
      </c>
      <c r="B46" s="35"/>
      <c r="C46" s="35" t="s">
        <v>82</v>
      </c>
      <c r="D46" s="35" t="s">
        <v>143</v>
      </c>
      <c r="E46" s="35" t="s">
        <v>173</v>
      </c>
      <c r="F46" s="36">
        <v>28.7</v>
      </c>
      <c r="G46" s="36"/>
      <c r="H46" s="36">
        <f>ROUND(F46*AE46,2)</f>
        <v>0</v>
      </c>
      <c r="I46" s="36">
        <f>J46-H46</f>
        <v>0</v>
      </c>
      <c r="J46" s="36">
        <f>ROUND(F46*G46,2)</f>
        <v>0</v>
      </c>
      <c r="K46" s="36">
        <v>0.004</v>
      </c>
      <c r="L46" s="40">
        <f>F46*K46</f>
        <v>0.1148</v>
      </c>
      <c r="N46" s="9" t="s">
        <v>7</v>
      </c>
      <c r="O46" s="4">
        <f>IF(N46="5",I46,0)</f>
        <v>0</v>
      </c>
      <c r="Z46" s="4">
        <f>IF(AD46=0,J46,0)</f>
        <v>0</v>
      </c>
      <c r="AA46" s="4">
        <f>IF(AD46=9,J46,0)</f>
        <v>0</v>
      </c>
      <c r="AB46" s="4">
        <f>IF(AD46=19,J46,0)</f>
        <v>0</v>
      </c>
      <c r="AD46" s="4">
        <v>19</v>
      </c>
      <c r="AE46" s="4">
        <f>G46*0.181664190193165</f>
        <v>0</v>
      </c>
      <c r="AF46" s="4">
        <f>G46*(1-0.181664190193165)</f>
        <v>0</v>
      </c>
    </row>
    <row r="47" spans="1:37" ht="12.75">
      <c r="A47" s="37"/>
      <c r="B47" s="31"/>
      <c r="C47" s="32" t="s">
        <v>83</v>
      </c>
      <c r="D47" s="48" t="s">
        <v>144</v>
      </c>
      <c r="E47" s="49"/>
      <c r="F47" s="49"/>
      <c r="G47" s="49"/>
      <c r="H47" s="33">
        <f>SUM(H48:H48)</f>
        <v>0</v>
      </c>
      <c r="I47" s="33">
        <f>SUM(I48:I48)</f>
        <v>0</v>
      </c>
      <c r="J47" s="33">
        <f>H47+I47</f>
        <v>0</v>
      </c>
      <c r="K47" s="34"/>
      <c r="L47" s="38">
        <f>SUM(L48:L48)</f>
        <v>0.36885</v>
      </c>
      <c r="P47" s="10">
        <f>IF(Q47="PR",J47,SUM(O48:O48))</f>
        <v>0</v>
      </c>
      <c r="Q47" s="6" t="s">
        <v>197</v>
      </c>
      <c r="R47" s="10">
        <f>IF(Q47="HS",H47,0)</f>
        <v>0</v>
      </c>
      <c r="S47" s="10">
        <f>IF(Q47="HS",I47-P47,0)</f>
        <v>0</v>
      </c>
      <c r="T47" s="10">
        <f>IF(Q47="PS",H47,0)</f>
        <v>0</v>
      </c>
      <c r="U47" s="10">
        <f>IF(Q47="PS",I47-P47,0)</f>
        <v>0</v>
      </c>
      <c r="V47" s="10">
        <f>IF(Q47="MP",H47,0)</f>
        <v>0</v>
      </c>
      <c r="W47" s="10">
        <f>IF(Q47="MP",I47-P47,0)</f>
        <v>0</v>
      </c>
      <c r="X47" s="10">
        <f>IF(Q47="OM",H47,0)</f>
        <v>0</v>
      </c>
      <c r="Y47" s="6"/>
      <c r="AI47" s="10">
        <f>SUM(Z48:Z48)</f>
        <v>0</v>
      </c>
      <c r="AJ47" s="10">
        <f>SUM(AA48:AA48)</f>
        <v>0</v>
      </c>
      <c r="AK47" s="10">
        <f>SUM(AB48:AB48)</f>
        <v>0</v>
      </c>
    </row>
    <row r="48" spans="1:32" ht="12.75">
      <c r="A48" s="39" t="s">
        <v>32</v>
      </c>
      <c r="B48" s="35"/>
      <c r="C48" s="35" t="s">
        <v>84</v>
      </c>
      <c r="D48" s="35" t="s">
        <v>145</v>
      </c>
      <c r="E48" s="35" t="s">
        <v>175</v>
      </c>
      <c r="F48" s="36">
        <v>3</v>
      </c>
      <c r="G48" s="36"/>
      <c r="H48" s="36">
        <f>ROUND(F48*AE48,2)</f>
        <v>0</v>
      </c>
      <c r="I48" s="36">
        <f>J48-H48</f>
        <v>0</v>
      </c>
      <c r="J48" s="36">
        <f>ROUND(F48*G48,2)</f>
        <v>0</v>
      </c>
      <c r="K48" s="36">
        <v>0.12295</v>
      </c>
      <c r="L48" s="40">
        <f>F48*K48</f>
        <v>0.36885</v>
      </c>
      <c r="N48" s="9" t="s">
        <v>7</v>
      </c>
      <c r="O48" s="4">
        <f>IF(N48="5",I48,0)</f>
        <v>0</v>
      </c>
      <c r="Z48" s="4">
        <f>IF(AD48=0,J48,0)</f>
        <v>0</v>
      </c>
      <c r="AA48" s="4">
        <f>IF(AD48=9,J48,0)</f>
        <v>0</v>
      </c>
      <c r="AB48" s="4">
        <f>IF(AD48=19,J48,0)</f>
        <v>0</v>
      </c>
      <c r="AD48" s="4">
        <v>19</v>
      </c>
      <c r="AE48" s="4">
        <f>G48*0.208124469807974</f>
        <v>0</v>
      </c>
      <c r="AF48" s="4">
        <f>G48*(1-0.208124469807974)</f>
        <v>0</v>
      </c>
    </row>
    <row r="49" spans="1:37" ht="12.75">
      <c r="A49" s="37"/>
      <c r="B49" s="31"/>
      <c r="C49" s="32" t="s">
        <v>85</v>
      </c>
      <c r="D49" s="48" t="s">
        <v>146</v>
      </c>
      <c r="E49" s="49"/>
      <c r="F49" s="49"/>
      <c r="G49" s="49"/>
      <c r="H49" s="33">
        <f>SUM(H50:H56)</f>
        <v>0</v>
      </c>
      <c r="I49" s="33">
        <f>SUM(I50:I56)</f>
        <v>0</v>
      </c>
      <c r="J49" s="33">
        <f>H49+I49</f>
        <v>0</v>
      </c>
      <c r="K49" s="34"/>
      <c r="L49" s="38">
        <f>SUM(L50:L56)</f>
        <v>0.15684</v>
      </c>
      <c r="P49" s="10">
        <f>IF(Q49="PR",J49,SUM(O50:O56))</f>
        <v>0</v>
      </c>
      <c r="Q49" s="6" t="s">
        <v>197</v>
      </c>
      <c r="R49" s="10">
        <f>IF(Q49="HS",H49,0)</f>
        <v>0</v>
      </c>
      <c r="S49" s="10">
        <f>IF(Q49="HS",I49-P49,0)</f>
        <v>0</v>
      </c>
      <c r="T49" s="10">
        <f>IF(Q49="PS",H49,0)</f>
        <v>0</v>
      </c>
      <c r="U49" s="10">
        <f>IF(Q49="PS",I49-P49,0)</f>
        <v>0</v>
      </c>
      <c r="V49" s="10">
        <f>IF(Q49="MP",H49,0)</f>
        <v>0</v>
      </c>
      <c r="W49" s="10">
        <f>IF(Q49="MP",I49-P49,0)</f>
        <v>0</v>
      </c>
      <c r="X49" s="10">
        <f>IF(Q49="OM",H49,0)</f>
        <v>0</v>
      </c>
      <c r="Y49" s="6"/>
      <c r="AI49" s="10">
        <f>SUM(Z50:Z56)</f>
        <v>0</v>
      </c>
      <c r="AJ49" s="10">
        <f>SUM(AA50:AA56)</f>
        <v>0</v>
      </c>
      <c r="AK49" s="10">
        <f>SUM(AB50:AB56)</f>
        <v>0</v>
      </c>
    </row>
    <row r="50" spans="1:32" ht="12.75">
      <c r="A50" s="39" t="s">
        <v>33</v>
      </c>
      <c r="B50" s="35"/>
      <c r="C50" s="35" t="s">
        <v>86</v>
      </c>
      <c r="D50" s="35" t="s">
        <v>147</v>
      </c>
      <c r="E50" s="35" t="s">
        <v>173</v>
      </c>
      <c r="F50" s="36">
        <v>0.4</v>
      </c>
      <c r="G50" s="36"/>
      <c r="H50" s="36">
        <f aca="true" t="shared" si="0" ref="H50:H56">ROUND(F50*AE50,2)</f>
        <v>0</v>
      </c>
      <c r="I50" s="36">
        <f aca="true" t="shared" si="1" ref="I50:I56">J50-H50</f>
        <v>0</v>
      </c>
      <c r="J50" s="36">
        <f aca="true" t="shared" si="2" ref="J50:J56">ROUND(F50*G50,2)</f>
        <v>0</v>
      </c>
      <c r="K50" s="36">
        <v>0</v>
      </c>
      <c r="L50" s="40">
        <f aca="true" t="shared" si="3" ref="L50:L56">F50*K50</f>
        <v>0</v>
      </c>
      <c r="N50" s="9" t="s">
        <v>7</v>
      </c>
      <c r="O50" s="4">
        <f aca="true" t="shared" si="4" ref="O50:O56">IF(N50="5",I50,0)</f>
        <v>0</v>
      </c>
      <c r="Z50" s="4">
        <f aca="true" t="shared" si="5" ref="Z50:Z56">IF(AD50=0,J50,0)</f>
        <v>0</v>
      </c>
      <c r="AA50" s="4">
        <f aca="true" t="shared" si="6" ref="AA50:AA56">IF(AD50=9,J50,0)</f>
        <v>0</v>
      </c>
      <c r="AB50" s="4">
        <f aca="true" t="shared" si="7" ref="AB50:AB56">IF(AD50=19,J50,0)</f>
        <v>0</v>
      </c>
      <c r="AD50" s="4">
        <v>19</v>
      </c>
      <c r="AE50" s="4">
        <f>G50*0</f>
        <v>0</v>
      </c>
      <c r="AF50" s="4">
        <f>G50*(1-0)</f>
        <v>0</v>
      </c>
    </row>
    <row r="51" spans="1:32" ht="12.75">
      <c r="A51" s="39" t="s">
        <v>34</v>
      </c>
      <c r="B51" s="35"/>
      <c r="C51" s="35" t="s">
        <v>87</v>
      </c>
      <c r="D51" s="35" t="s">
        <v>148</v>
      </c>
      <c r="E51" s="35" t="s">
        <v>173</v>
      </c>
      <c r="F51" s="36">
        <v>2.52</v>
      </c>
      <c r="G51" s="36"/>
      <c r="H51" s="36">
        <f t="shared" si="0"/>
        <v>0</v>
      </c>
      <c r="I51" s="36">
        <f t="shared" si="1"/>
        <v>0</v>
      </c>
      <c r="J51" s="36">
        <f t="shared" si="2"/>
        <v>0</v>
      </c>
      <c r="K51" s="36">
        <v>0.042</v>
      </c>
      <c r="L51" s="40">
        <f t="shared" si="3"/>
        <v>0.10584</v>
      </c>
      <c r="N51" s="9" t="s">
        <v>7</v>
      </c>
      <c r="O51" s="4">
        <f t="shared" si="4"/>
        <v>0</v>
      </c>
      <c r="Z51" s="4">
        <f t="shared" si="5"/>
        <v>0</v>
      </c>
      <c r="AA51" s="4">
        <f t="shared" si="6"/>
        <v>0</v>
      </c>
      <c r="AB51" s="4">
        <f t="shared" si="7"/>
        <v>0</v>
      </c>
      <c r="AD51" s="4">
        <v>19</v>
      </c>
      <c r="AE51" s="4">
        <f>G51*0.432495281148855</f>
        <v>0</v>
      </c>
      <c r="AF51" s="4">
        <f>G51*(1-0.432495281148855)</f>
        <v>0</v>
      </c>
    </row>
    <row r="52" spans="1:32" ht="12.75">
      <c r="A52" s="39" t="s">
        <v>35</v>
      </c>
      <c r="B52" s="35"/>
      <c r="C52" s="35" t="s">
        <v>88</v>
      </c>
      <c r="D52" s="35" t="s">
        <v>149</v>
      </c>
      <c r="E52" s="35" t="s">
        <v>176</v>
      </c>
      <c r="F52" s="36">
        <v>1</v>
      </c>
      <c r="G52" s="36"/>
      <c r="H52" s="36">
        <f t="shared" si="0"/>
        <v>0</v>
      </c>
      <c r="I52" s="36">
        <f t="shared" si="1"/>
        <v>0</v>
      </c>
      <c r="J52" s="36">
        <f t="shared" si="2"/>
        <v>0</v>
      </c>
      <c r="K52" s="36">
        <v>0.002</v>
      </c>
      <c r="L52" s="40">
        <f t="shared" si="3"/>
        <v>0.002</v>
      </c>
      <c r="N52" s="9" t="s">
        <v>7</v>
      </c>
      <c r="O52" s="4">
        <f t="shared" si="4"/>
        <v>0</v>
      </c>
      <c r="Z52" s="4">
        <f t="shared" si="5"/>
        <v>0</v>
      </c>
      <c r="AA52" s="4">
        <f t="shared" si="6"/>
        <v>0</v>
      </c>
      <c r="AB52" s="4">
        <f t="shared" si="7"/>
        <v>0</v>
      </c>
      <c r="AD52" s="4">
        <v>19</v>
      </c>
      <c r="AE52" s="4">
        <f>G52*0.104607003483408</f>
        <v>0</v>
      </c>
      <c r="AF52" s="4">
        <f>G52*(1-0.104607003483408)</f>
        <v>0</v>
      </c>
    </row>
    <row r="53" spans="1:32" ht="12.75">
      <c r="A53" s="39" t="s">
        <v>36</v>
      </c>
      <c r="B53" s="35"/>
      <c r="C53" s="35" t="s">
        <v>89</v>
      </c>
      <c r="D53" s="35" t="s">
        <v>150</v>
      </c>
      <c r="E53" s="35" t="s">
        <v>176</v>
      </c>
      <c r="F53" s="36">
        <v>1</v>
      </c>
      <c r="G53" s="36"/>
      <c r="H53" s="36">
        <f t="shared" si="0"/>
        <v>0</v>
      </c>
      <c r="I53" s="36">
        <f t="shared" si="1"/>
        <v>0</v>
      </c>
      <c r="J53" s="36">
        <f t="shared" si="2"/>
        <v>0</v>
      </c>
      <c r="K53" s="36">
        <v>0.011</v>
      </c>
      <c r="L53" s="40">
        <f t="shared" si="3"/>
        <v>0.011</v>
      </c>
      <c r="N53" s="9" t="s">
        <v>7</v>
      </c>
      <c r="O53" s="4">
        <f t="shared" si="4"/>
        <v>0</v>
      </c>
      <c r="Z53" s="4">
        <f t="shared" si="5"/>
        <v>0</v>
      </c>
      <c r="AA53" s="4">
        <f t="shared" si="6"/>
        <v>0</v>
      </c>
      <c r="AB53" s="4">
        <f t="shared" si="7"/>
        <v>0</v>
      </c>
      <c r="AD53" s="4">
        <v>19</v>
      </c>
      <c r="AE53" s="4">
        <f>G53*0.0917558762131735</f>
        <v>0</v>
      </c>
      <c r="AF53" s="4">
        <f>G53*(1-0.0917558762131735)</f>
        <v>0</v>
      </c>
    </row>
    <row r="54" spans="1:32" ht="12.75">
      <c r="A54" s="39" t="s">
        <v>37</v>
      </c>
      <c r="B54" s="35"/>
      <c r="C54" s="35" t="s">
        <v>90</v>
      </c>
      <c r="D54" s="35" t="s">
        <v>151</v>
      </c>
      <c r="E54" s="35" t="s">
        <v>176</v>
      </c>
      <c r="F54" s="36">
        <v>1</v>
      </c>
      <c r="G54" s="36"/>
      <c r="H54" s="36">
        <f t="shared" si="0"/>
        <v>0</v>
      </c>
      <c r="I54" s="36">
        <f t="shared" si="1"/>
        <v>0</v>
      </c>
      <c r="J54" s="36">
        <f t="shared" si="2"/>
        <v>0</v>
      </c>
      <c r="K54" s="36">
        <v>0.038</v>
      </c>
      <c r="L54" s="40">
        <f t="shared" si="3"/>
        <v>0.038</v>
      </c>
      <c r="N54" s="9" t="s">
        <v>7</v>
      </c>
      <c r="O54" s="4">
        <f t="shared" si="4"/>
        <v>0</v>
      </c>
      <c r="Z54" s="4">
        <f t="shared" si="5"/>
        <v>0</v>
      </c>
      <c r="AA54" s="4">
        <f t="shared" si="6"/>
        <v>0</v>
      </c>
      <c r="AB54" s="4">
        <f t="shared" si="7"/>
        <v>0</v>
      </c>
      <c r="AD54" s="4">
        <v>19</v>
      </c>
      <c r="AE54" s="4">
        <f>G54*0.112775103770714</f>
        <v>0</v>
      </c>
      <c r="AF54" s="4">
        <f>G54*(1-0.112775103770714)</f>
        <v>0</v>
      </c>
    </row>
    <row r="55" spans="1:32" ht="12.75">
      <c r="A55" s="39" t="s">
        <v>38</v>
      </c>
      <c r="B55" s="35"/>
      <c r="C55" s="35" t="s">
        <v>91</v>
      </c>
      <c r="D55" s="35" t="s">
        <v>152</v>
      </c>
      <c r="E55" s="35" t="s">
        <v>177</v>
      </c>
      <c r="F55" s="36">
        <v>16.79</v>
      </c>
      <c r="G55" s="36"/>
      <c r="H55" s="36">
        <f t="shared" si="0"/>
        <v>0</v>
      </c>
      <c r="I55" s="36">
        <f t="shared" si="1"/>
        <v>0</v>
      </c>
      <c r="J55" s="36">
        <f t="shared" si="2"/>
        <v>0</v>
      </c>
      <c r="K55" s="36">
        <v>0</v>
      </c>
      <c r="L55" s="40">
        <f t="shared" si="3"/>
        <v>0</v>
      </c>
      <c r="N55" s="9" t="s">
        <v>7</v>
      </c>
      <c r="O55" s="4">
        <f t="shared" si="4"/>
        <v>0</v>
      </c>
      <c r="Z55" s="4">
        <f t="shared" si="5"/>
        <v>0</v>
      </c>
      <c r="AA55" s="4">
        <f t="shared" si="6"/>
        <v>0</v>
      </c>
      <c r="AB55" s="4">
        <f t="shared" si="7"/>
        <v>0</v>
      </c>
      <c r="AD55" s="4">
        <v>19</v>
      </c>
      <c r="AE55" s="4">
        <f>G55*0</f>
        <v>0</v>
      </c>
      <c r="AF55" s="4">
        <f>G55*(1-0)</f>
        <v>0</v>
      </c>
    </row>
    <row r="56" spans="1:32" ht="12.75">
      <c r="A56" s="39" t="s">
        <v>39</v>
      </c>
      <c r="B56" s="35"/>
      <c r="C56" s="35" t="s">
        <v>92</v>
      </c>
      <c r="D56" s="35" t="s">
        <v>153</v>
      </c>
      <c r="E56" s="35" t="s">
        <v>177</v>
      </c>
      <c r="F56" s="36">
        <v>72.6</v>
      </c>
      <c r="G56" s="36"/>
      <c r="H56" s="36">
        <f t="shared" si="0"/>
        <v>0</v>
      </c>
      <c r="I56" s="36">
        <f t="shared" si="1"/>
        <v>0</v>
      </c>
      <c r="J56" s="36">
        <f t="shared" si="2"/>
        <v>0</v>
      </c>
      <c r="K56" s="36">
        <v>0</v>
      </c>
      <c r="L56" s="40">
        <f t="shared" si="3"/>
        <v>0</v>
      </c>
      <c r="N56" s="9" t="s">
        <v>7</v>
      </c>
      <c r="O56" s="4">
        <f t="shared" si="4"/>
        <v>0</v>
      </c>
      <c r="Z56" s="4">
        <f t="shared" si="5"/>
        <v>0</v>
      </c>
      <c r="AA56" s="4">
        <f t="shared" si="6"/>
        <v>0</v>
      </c>
      <c r="AB56" s="4">
        <f t="shared" si="7"/>
        <v>0</v>
      </c>
      <c r="AD56" s="4">
        <v>19</v>
      </c>
      <c r="AE56" s="4">
        <f>G56*0</f>
        <v>0</v>
      </c>
      <c r="AF56" s="4">
        <f>G56*(1-0)</f>
        <v>0</v>
      </c>
    </row>
    <row r="57" spans="1:37" ht="12.75">
      <c r="A57" s="37"/>
      <c r="B57" s="31"/>
      <c r="C57" s="32" t="s">
        <v>93</v>
      </c>
      <c r="D57" s="48" t="s">
        <v>154</v>
      </c>
      <c r="E57" s="49"/>
      <c r="F57" s="49"/>
      <c r="G57" s="49"/>
      <c r="H57" s="33">
        <f>SUM(H58:H58)</f>
        <v>0</v>
      </c>
      <c r="I57" s="33">
        <f>SUM(I58:I58)</f>
        <v>0</v>
      </c>
      <c r="J57" s="33">
        <f>H57+I57</f>
        <v>0</v>
      </c>
      <c r="K57" s="34"/>
      <c r="L57" s="38">
        <f>SUM(L58:L58)</f>
        <v>0</v>
      </c>
      <c r="P57" s="10">
        <f>IF(Q57="PR",J57,SUM(O58:O58))</f>
        <v>0</v>
      </c>
      <c r="Q57" s="6" t="s">
        <v>199</v>
      </c>
      <c r="R57" s="10">
        <f>IF(Q57="HS",H57,0)</f>
        <v>0</v>
      </c>
      <c r="S57" s="10">
        <f>IF(Q57="HS",I57-P57,0)</f>
        <v>0</v>
      </c>
      <c r="T57" s="10">
        <f>IF(Q57="PS",H57,0)</f>
        <v>0</v>
      </c>
      <c r="U57" s="10">
        <f>IF(Q57="PS",I57-P57,0)</f>
        <v>0</v>
      </c>
      <c r="V57" s="10">
        <f>IF(Q57="MP",H57,0)</f>
        <v>0</v>
      </c>
      <c r="W57" s="10">
        <f>IF(Q57="MP",I57-P57,0)</f>
        <v>0</v>
      </c>
      <c r="X57" s="10">
        <f>IF(Q57="OM",H57,0)</f>
        <v>0</v>
      </c>
      <c r="Y57" s="6"/>
      <c r="AI57" s="10">
        <f>SUM(Z58:Z58)</f>
        <v>0</v>
      </c>
      <c r="AJ57" s="10">
        <f>SUM(AA58:AA58)</f>
        <v>0</v>
      </c>
      <c r="AK57" s="10">
        <f>SUM(AB58:AB58)</f>
        <v>0</v>
      </c>
    </row>
    <row r="58" spans="1:32" ht="12.75">
      <c r="A58" s="39" t="s">
        <v>40</v>
      </c>
      <c r="B58" s="35"/>
      <c r="C58" s="35" t="s">
        <v>94</v>
      </c>
      <c r="D58" s="35" t="s">
        <v>155</v>
      </c>
      <c r="E58" s="35" t="s">
        <v>174</v>
      </c>
      <c r="F58" s="36">
        <v>15.56</v>
      </c>
      <c r="G58" s="36"/>
      <c r="H58" s="36">
        <f>ROUND(F58*AE58,2)</f>
        <v>0</v>
      </c>
      <c r="I58" s="36">
        <f>J58-H58</f>
        <v>0</v>
      </c>
      <c r="J58" s="36">
        <f>ROUND(F58*G58,2)</f>
        <v>0</v>
      </c>
      <c r="K58" s="36">
        <v>0</v>
      </c>
      <c r="L58" s="40">
        <f>F58*K58</f>
        <v>0</v>
      </c>
      <c r="N58" s="9" t="s">
        <v>11</v>
      </c>
      <c r="O58" s="4">
        <f>IF(N58="5",I58,0)</f>
        <v>0</v>
      </c>
      <c r="Z58" s="4">
        <f>IF(AD58=0,J58,0)</f>
        <v>0</v>
      </c>
      <c r="AA58" s="4">
        <f>IF(AD58=9,J58,0)</f>
        <v>0</v>
      </c>
      <c r="AB58" s="4">
        <f>IF(AD58=19,J58,0)</f>
        <v>0</v>
      </c>
      <c r="AD58" s="4">
        <v>19</v>
      </c>
      <c r="AE58" s="4">
        <f>G58*0</f>
        <v>0</v>
      </c>
      <c r="AF58" s="4">
        <f>G58*(1-0)</f>
        <v>0</v>
      </c>
    </row>
    <row r="59" spans="1:37" ht="12.75">
      <c r="A59" s="37"/>
      <c r="B59" s="31"/>
      <c r="C59" s="32"/>
      <c r="D59" s="48" t="s">
        <v>156</v>
      </c>
      <c r="E59" s="49"/>
      <c r="F59" s="49"/>
      <c r="G59" s="49"/>
      <c r="H59" s="33">
        <f>SUM(H60:H69)</f>
        <v>0</v>
      </c>
      <c r="I59" s="33">
        <f>SUM(I60:I69)</f>
        <v>0</v>
      </c>
      <c r="J59" s="33">
        <f>H59+I59</f>
        <v>0</v>
      </c>
      <c r="K59" s="34"/>
      <c r="L59" s="38">
        <f>SUM(L60:L69)</f>
        <v>5.12397</v>
      </c>
      <c r="P59" s="10">
        <f>IF(Q59="PR",J59,SUM(O60:O69))</f>
        <v>0</v>
      </c>
      <c r="Q59" s="6" t="s">
        <v>200</v>
      </c>
      <c r="R59" s="10">
        <f>IF(Q59="HS",H59,0)</f>
        <v>0</v>
      </c>
      <c r="S59" s="10">
        <f>IF(Q59="HS",I59-P59,0)</f>
        <v>0</v>
      </c>
      <c r="T59" s="10">
        <f>IF(Q59="PS",H59,0)</f>
        <v>0</v>
      </c>
      <c r="U59" s="10">
        <f>IF(Q59="PS",I59-P59,0)</f>
        <v>0</v>
      </c>
      <c r="V59" s="10">
        <f>IF(Q59="MP",H59,0)</f>
        <v>0</v>
      </c>
      <c r="W59" s="10">
        <f>IF(Q59="MP",I59-P59,0)</f>
        <v>0</v>
      </c>
      <c r="X59" s="10">
        <f>IF(Q59="OM",H59,0)</f>
        <v>0</v>
      </c>
      <c r="Y59" s="6"/>
      <c r="AI59" s="10">
        <f>SUM(Z60:Z69)</f>
        <v>0</v>
      </c>
      <c r="AJ59" s="10">
        <f>SUM(AA60:AA69)</f>
        <v>0</v>
      </c>
      <c r="AK59" s="10">
        <f>SUM(AB60:AB69)</f>
        <v>0</v>
      </c>
    </row>
    <row r="60" spans="1:32" ht="12.75">
      <c r="A60" s="39" t="s">
        <v>41</v>
      </c>
      <c r="B60" s="35"/>
      <c r="C60" s="35" t="s">
        <v>95</v>
      </c>
      <c r="D60" s="35" t="s">
        <v>157</v>
      </c>
      <c r="E60" s="35" t="s">
        <v>178</v>
      </c>
      <c r="F60" s="36">
        <v>0.01052</v>
      </c>
      <c r="G60" s="36"/>
      <c r="H60" s="36">
        <f aca="true" t="shared" si="8" ref="H60:H69">ROUND(F60*AE60,2)</f>
        <v>0</v>
      </c>
      <c r="I60" s="36">
        <f aca="true" t="shared" si="9" ref="I60:I69">J60-H60</f>
        <v>0</v>
      </c>
      <c r="J60" s="36">
        <f aca="true" t="shared" si="10" ref="J60:J69">ROUND(F60*G60,2)</f>
        <v>0</v>
      </c>
      <c r="K60" s="36">
        <v>1</v>
      </c>
      <c r="L60" s="40">
        <f aca="true" t="shared" si="11" ref="L60:L69">F60*K60</f>
        <v>0.01052</v>
      </c>
      <c r="N60" s="9" t="s">
        <v>194</v>
      </c>
      <c r="O60" s="4">
        <f aca="true" t="shared" si="12" ref="O60:O69">IF(N60="5",I60,0)</f>
        <v>0</v>
      </c>
      <c r="Z60" s="4">
        <f aca="true" t="shared" si="13" ref="Z60:Z69">IF(AD60=0,J60,0)</f>
        <v>0</v>
      </c>
      <c r="AA60" s="4">
        <f aca="true" t="shared" si="14" ref="AA60:AA69">IF(AD60=9,J60,0)</f>
        <v>0</v>
      </c>
      <c r="AB60" s="4">
        <f aca="true" t="shared" si="15" ref="AB60:AB69">IF(AD60=19,J60,0)</f>
        <v>0</v>
      </c>
      <c r="AD60" s="4">
        <v>19</v>
      </c>
      <c r="AE60" s="4">
        <f aca="true" t="shared" si="16" ref="AE60:AE69">G60*1</f>
        <v>0</v>
      </c>
      <c r="AF60" s="4">
        <f aca="true" t="shared" si="17" ref="AF60:AF69">G60*(1-1)</f>
        <v>0</v>
      </c>
    </row>
    <row r="61" spans="1:32" ht="12.75">
      <c r="A61" s="39" t="s">
        <v>42</v>
      </c>
      <c r="B61" s="35"/>
      <c r="C61" s="35" t="s">
        <v>96</v>
      </c>
      <c r="D61" s="35" t="s">
        <v>158</v>
      </c>
      <c r="E61" s="35" t="s">
        <v>178</v>
      </c>
      <c r="F61" s="36">
        <v>0.00627</v>
      </c>
      <c r="G61" s="36"/>
      <c r="H61" s="36">
        <f t="shared" si="8"/>
        <v>0</v>
      </c>
      <c r="I61" s="36">
        <f t="shared" si="9"/>
        <v>0</v>
      </c>
      <c r="J61" s="36">
        <f t="shared" si="10"/>
        <v>0</v>
      </c>
      <c r="K61" s="36">
        <v>1</v>
      </c>
      <c r="L61" s="40">
        <f t="shared" si="11"/>
        <v>0.00627</v>
      </c>
      <c r="N61" s="9" t="s">
        <v>194</v>
      </c>
      <c r="O61" s="4">
        <f t="shared" si="12"/>
        <v>0</v>
      </c>
      <c r="Z61" s="4">
        <f t="shared" si="13"/>
        <v>0</v>
      </c>
      <c r="AA61" s="4">
        <f t="shared" si="14"/>
        <v>0</v>
      </c>
      <c r="AB61" s="4">
        <f t="shared" si="15"/>
        <v>0</v>
      </c>
      <c r="AD61" s="4">
        <v>19</v>
      </c>
      <c r="AE61" s="4">
        <f t="shared" si="16"/>
        <v>0</v>
      </c>
      <c r="AF61" s="4">
        <f t="shared" si="17"/>
        <v>0</v>
      </c>
    </row>
    <row r="62" spans="1:32" ht="12.75">
      <c r="A62" s="39" t="s">
        <v>43</v>
      </c>
      <c r="B62" s="35"/>
      <c r="C62" s="35" t="s">
        <v>97</v>
      </c>
      <c r="D62" s="35" t="s">
        <v>159</v>
      </c>
      <c r="E62" s="35" t="s">
        <v>178</v>
      </c>
      <c r="F62" s="36">
        <v>0.01138</v>
      </c>
      <c r="G62" s="36"/>
      <c r="H62" s="36">
        <f t="shared" si="8"/>
        <v>0</v>
      </c>
      <c r="I62" s="36">
        <f t="shared" si="9"/>
        <v>0</v>
      </c>
      <c r="J62" s="36">
        <f t="shared" si="10"/>
        <v>0</v>
      </c>
      <c r="K62" s="36">
        <v>1</v>
      </c>
      <c r="L62" s="40">
        <f t="shared" si="11"/>
        <v>0.01138</v>
      </c>
      <c r="N62" s="9" t="s">
        <v>194</v>
      </c>
      <c r="O62" s="4">
        <f t="shared" si="12"/>
        <v>0</v>
      </c>
      <c r="Z62" s="4">
        <f t="shared" si="13"/>
        <v>0</v>
      </c>
      <c r="AA62" s="4">
        <f t="shared" si="14"/>
        <v>0</v>
      </c>
      <c r="AB62" s="4">
        <f t="shared" si="15"/>
        <v>0</v>
      </c>
      <c r="AD62" s="4">
        <v>19</v>
      </c>
      <c r="AE62" s="4">
        <f t="shared" si="16"/>
        <v>0</v>
      </c>
      <c r="AF62" s="4">
        <f t="shared" si="17"/>
        <v>0</v>
      </c>
    </row>
    <row r="63" spans="1:32" ht="12.75">
      <c r="A63" s="39" t="s">
        <v>44</v>
      </c>
      <c r="B63" s="35"/>
      <c r="C63" s="35" t="s">
        <v>98</v>
      </c>
      <c r="D63" s="35" t="s">
        <v>160</v>
      </c>
      <c r="E63" s="35" t="s">
        <v>178</v>
      </c>
      <c r="F63" s="36">
        <v>0.0726</v>
      </c>
      <c r="G63" s="36"/>
      <c r="H63" s="36">
        <f t="shared" si="8"/>
        <v>0</v>
      </c>
      <c r="I63" s="36">
        <f t="shared" si="9"/>
        <v>0</v>
      </c>
      <c r="J63" s="36">
        <f t="shared" si="10"/>
        <v>0</v>
      </c>
      <c r="K63" s="36">
        <v>1</v>
      </c>
      <c r="L63" s="40">
        <f t="shared" si="11"/>
        <v>0.0726</v>
      </c>
      <c r="N63" s="9" t="s">
        <v>194</v>
      </c>
      <c r="O63" s="4">
        <f t="shared" si="12"/>
        <v>0</v>
      </c>
      <c r="Z63" s="4">
        <f t="shared" si="13"/>
        <v>0</v>
      </c>
      <c r="AA63" s="4">
        <f t="shared" si="14"/>
        <v>0</v>
      </c>
      <c r="AB63" s="4">
        <f t="shared" si="15"/>
        <v>0</v>
      </c>
      <c r="AD63" s="4">
        <v>19</v>
      </c>
      <c r="AE63" s="4">
        <f t="shared" si="16"/>
        <v>0</v>
      </c>
      <c r="AF63" s="4">
        <f t="shared" si="17"/>
        <v>0</v>
      </c>
    </row>
    <row r="64" spans="1:32" ht="12.75">
      <c r="A64" s="39" t="s">
        <v>45</v>
      </c>
      <c r="B64" s="35"/>
      <c r="C64" s="35" t="s">
        <v>99</v>
      </c>
      <c r="D64" s="35" t="s">
        <v>161</v>
      </c>
      <c r="E64" s="35" t="s">
        <v>178</v>
      </c>
      <c r="F64" s="36">
        <v>0.169</v>
      </c>
      <c r="G64" s="36"/>
      <c r="H64" s="36">
        <f t="shared" si="8"/>
        <v>0</v>
      </c>
      <c r="I64" s="36">
        <f t="shared" si="9"/>
        <v>0</v>
      </c>
      <c r="J64" s="36">
        <f t="shared" si="10"/>
        <v>0</v>
      </c>
      <c r="K64" s="36">
        <v>1</v>
      </c>
      <c r="L64" s="40">
        <f t="shared" si="11"/>
        <v>0.169</v>
      </c>
      <c r="N64" s="9" t="s">
        <v>194</v>
      </c>
      <c r="O64" s="4">
        <f t="shared" si="12"/>
        <v>0</v>
      </c>
      <c r="Z64" s="4">
        <f t="shared" si="13"/>
        <v>0</v>
      </c>
      <c r="AA64" s="4">
        <f t="shared" si="14"/>
        <v>0</v>
      </c>
      <c r="AB64" s="4">
        <f t="shared" si="15"/>
        <v>0</v>
      </c>
      <c r="AD64" s="4">
        <v>19</v>
      </c>
      <c r="AE64" s="4">
        <f t="shared" si="16"/>
        <v>0</v>
      </c>
      <c r="AF64" s="4">
        <f t="shared" si="17"/>
        <v>0</v>
      </c>
    </row>
    <row r="65" spans="1:32" ht="12.75">
      <c r="A65" s="39" t="s">
        <v>46</v>
      </c>
      <c r="B65" s="35"/>
      <c r="C65" s="35" t="s">
        <v>100</v>
      </c>
      <c r="D65" s="35" t="s">
        <v>162</v>
      </c>
      <c r="E65" s="35" t="s">
        <v>178</v>
      </c>
      <c r="F65" s="36">
        <v>0.0788</v>
      </c>
      <c r="G65" s="36"/>
      <c r="H65" s="36">
        <f t="shared" si="8"/>
        <v>0</v>
      </c>
      <c r="I65" s="36">
        <f t="shared" si="9"/>
        <v>0</v>
      </c>
      <c r="J65" s="36">
        <f t="shared" si="10"/>
        <v>0</v>
      </c>
      <c r="K65" s="36">
        <v>1</v>
      </c>
      <c r="L65" s="40">
        <f t="shared" si="11"/>
        <v>0.0788</v>
      </c>
      <c r="N65" s="9" t="s">
        <v>194</v>
      </c>
      <c r="O65" s="4">
        <f t="shared" si="12"/>
        <v>0</v>
      </c>
      <c r="Z65" s="4">
        <f t="shared" si="13"/>
        <v>0</v>
      </c>
      <c r="AA65" s="4">
        <f t="shared" si="14"/>
        <v>0</v>
      </c>
      <c r="AB65" s="4">
        <f t="shared" si="15"/>
        <v>0</v>
      </c>
      <c r="AD65" s="4">
        <v>19</v>
      </c>
      <c r="AE65" s="4">
        <f t="shared" si="16"/>
        <v>0</v>
      </c>
      <c r="AF65" s="4">
        <f t="shared" si="17"/>
        <v>0</v>
      </c>
    </row>
    <row r="66" spans="1:32" ht="12.75">
      <c r="A66" s="39" t="s">
        <v>47</v>
      </c>
      <c r="B66" s="35"/>
      <c r="C66" s="35" t="s">
        <v>101</v>
      </c>
      <c r="D66" s="35" t="s">
        <v>163</v>
      </c>
      <c r="E66" s="35" t="s">
        <v>175</v>
      </c>
      <c r="F66" s="36">
        <v>13</v>
      </c>
      <c r="G66" s="36"/>
      <c r="H66" s="36">
        <f t="shared" si="8"/>
        <v>0</v>
      </c>
      <c r="I66" s="36">
        <f t="shared" si="9"/>
        <v>0</v>
      </c>
      <c r="J66" s="36">
        <f t="shared" si="10"/>
        <v>0</v>
      </c>
      <c r="K66" s="36">
        <v>0.00335</v>
      </c>
      <c r="L66" s="40">
        <f t="shared" si="11"/>
        <v>0.04355</v>
      </c>
      <c r="N66" s="9" t="s">
        <v>194</v>
      </c>
      <c r="O66" s="4">
        <f t="shared" si="12"/>
        <v>0</v>
      </c>
      <c r="Z66" s="4">
        <f t="shared" si="13"/>
        <v>0</v>
      </c>
      <c r="AA66" s="4">
        <f t="shared" si="14"/>
        <v>0</v>
      </c>
      <c r="AB66" s="4">
        <f t="shared" si="15"/>
        <v>0</v>
      </c>
      <c r="AD66" s="4">
        <v>19</v>
      </c>
      <c r="AE66" s="4">
        <f t="shared" si="16"/>
        <v>0</v>
      </c>
      <c r="AF66" s="4">
        <f t="shared" si="17"/>
        <v>0</v>
      </c>
    </row>
    <row r="67" spans="1:32" ht="12.75">
      <c r="A67" s="39" t="s">
        <v>48</v>
      </c>
      <c r="B67" s="35"/>
      <c r="C67" s="35" t="s">
        <v>102</v>
      </c>
      <c r="D67" s="35" t="s">
        <v>164</v>
      </c>
      <c r="E67" s="35" t="s">
        <v>176</v>
      </c>
      <c r="F67" s="36">
        <v>16.16</v>
      </c>
      <c r="G67" s="36"/>
      <c r="H67" s="36">
        <f t="shared" si="8"/>
        <v>0</v>
      </c>
      <c r="I67" s="36">
        <f t="shared" si="9"/>
        <v>0</v>
      </c>
      <c r="J67" s="36">
        <f t="shared" si="10"/>
        <v>0</v>
      </c>
      <c r="K67" s="36">
        <v>0.171</v>
      </c>
      <c r="L67" s="40">
        <f t="shared" si="11"/>
        <v>2.76336</v>
      </c>
      <c r="N67" s="9" t="s">
        <v>194</v>
      </c>
      <c r="O67" s="4">
        <f t="shared" si="12"/>
        <v>0</v>
      </c>
      <c r="Z67" s="4">
        <f t="shared" si="13"/>
        <v>0</v>
      </c>
      <c r="AA67" s="4">
        <f t="shared" si="14"/>
        <v>0</v>
      </c>
      <c r="AB67" s="4">
        <f t="shared" si="15"/>
        <v>0</v>
      </c>
      <c r="AD67" s="4">
        <v>19</v>
      </c>
      <c r="AE67" s="4">
        <f t="shared" si="16"/>
        <v>0</v>
      </c>
      <c r="AF67" s="4">
        <f t="shared" si="17"/>
        <v>0</v>
      </c>
    </row>
    <row r="68" spans="1:32" ht="12.75">
      <c r="A68" s="39" t="s">
        <v>49</v>
      </c>
      <c r="B68" s="35"/>
      <c r="C68" s="35" t="s">
        <v>103</v>
      </c>
      <c r="D68" s="35" t="s">
        <v>165</v>
      </c>
      <c r="E68" s="35" t="s">
        <v>176</v>
      </c>
      <c r="F68" s="36">
        <v>1.01</v>
      </c>
      <c r="G68" s="36"/>
      <c r="H68" s="36">
        <f t="shared" si="8"/>
        <v>0</v>
      </c>
      <c r="I68" s="36">
        <f t="shared" si="9"/>
        <v>0</v>
      </c>
      <c r="J68" s="36">
        <f t="shared" si="10"/>
        <v>0</v>
      </c>
      <c r="K68" s="36">
        <v>0.449</v>
      </c>
      <c r="L68" s="40">
        <f t="shared" si="11"/>
        <v>0.45349</v>
      </c>
      <c r="N68" s="9" t="s">
        <v>194</v>
      </c>
      <c r="O68" s="4">
        <f t="shared" si="12"/>
        <v>0</v>
      </c>
      <c r="Z68" s="4">
        <f t="shared" si="13"/>
        <v>0</v>
      </c>
      <c r="AA68" s="4">
        <f t="shared" si="14"/>
        <v>0</v>
      </c>
      <c r="AB68" s="4">
        <f t="shared" si="15"/>
        <v>0</v>
      </c>
      <c r="AD68" s="4">
        <v>19</v>
      </c>
      <c r="AE68" s="4">
        <f t="shared" si="16"/>
        <v>0</v>
      </c>
      <c r="AF68" s="4">
        <f t="shared" si="17"/>
        <v>0</v>
      </c>
    </row>
    <row r="69" spans="1:32" ht="13.5" thickBot="1">
      <c r="A69" s="41" t="s">
        <v>50</v>
      </c>
      <c r="B69" s="42"/>
      <c r="C69" s="42" t="s">
        <v>104</v>
      </c>
      <c r="D69" s="42" t="s">
        <v>166</v>
      </c>
      <c r="E69" s="42" t="s">
        <v>176</v>
      </c>
      <c r="F69" s="43">
        <v>3.03</v>
      </c>
      <c r="G69" s="43"/>
      <c r="H69" s="43">
        <f t="shared" si="8"/>
        <v>0</v>
      </c>
      <c r="I69" s="43">
        <f t="shared" si="9"/>
        <v>0</v>
      </c>
      <c r="J69" s="43">
        <f t="shared" si="10"/>
        <v>0</v>
      </c>
      <c r="K69" s="43">
        <v>0.5</v>
      </c>
      <c r="L69" s="44">
        <f t="shared" si="11"/>
        <v>1.515</v>
      </c>
      <c r="N69" s="9" t="s">
        <v>194</v>
      </c>
      <c r="O69" s="4">
        <f t="shared" si="12"/>
        <v>0</v>
      </c>
      <c r="Z69" s="4">
        <f t="shared" si="13"/>
        <v>0</v>
      </c>
      <c r="AA69" s="4">
        <f t="shared" si="14"/>
        <v>0</v>
      </c>
      <c r="AB69" s="4">
        <f t="shared" si="15"/>
        <v>0</v>
      </c>
      <c r="AD69" s="4">
        <v>19</v>
      </c>
      <c r="AE69" s="4">
        <f t="shared" si="16"/>
        <v>0</v>
      </c>
      <c r="AF69" s="4">
        <f t="shared" si="17"/>
        <v>0</v>
      </c>
    </row>
    <row r="70" spans="1:28" ht="12.75">
      <c r="A70" s="23"/>
      <c r="B70" s="23"/>
      <c r="C70" s="23"/>
      <c r="D70" s="23"/>
      <c r="E70" s="23"/>
      <c r="F70" s="23"/>
      <c r="G70" s="23"/>
      <c r="H70" s="46" t="s">
        <v>184</v>
      </c>
      <c r="I70" s="47"/>
      <c r="J70" s="11">
        <f>J12+J14+J17+J21+J23+J29+J34+J36+J39+J41+J47+J49+J57+J59</f>
        <v>0</v>
      </c>
      <c r="K70" s="23"/>
      <c r="L70" s="23"/>
      <c r="Z70" s="11">
        <f>SUM(Z13:Z69)</f>
        <v>0</v>
      </c>
      <c r="AA70" s="11">
        <f>SUM(AA13:AA69)</f>
        <v>0</v>
      </c>
      <c r="AB70" s="11">
        <f>SUM(AB13:AB69)</f>
        <v>0</v>
      </c>
    </row>
  </sheetData>
  <sheetProtection/>
  <mergeCells count="42"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  <mergeCell ref="A8:C9"/>
    <mergeCell ref="D2:D3"/>
    <mergeCell ref="D4:D5"/>
    <mergeCell ref="D6:D7"/>
    <mergeCell ref="D8:D9"/>
    <mergeCell ref="E8:F9"/>
    <mergeCell ref="G2:H3"/>
    <mergeCell ref="G4:H5"/>
    <mergeCell ref="G6:H7"/>
    <mergeCell ref="G8:H9"/>
    <mergeCell ref="I8:I9"/>
    <mergeCell ref="J2:L3"/>
    <mergeCell ref="J4:L5"/>
    <mergeCell ref="J6:L7"/>
    <mergeCell ref="J8:L9"/>
    <mergeCell ref="D41:G41"/>
    <mergeCell ref="H10:J10"/>
    <mergeCell ref="K10:L10"/>
    <mergeCell ref="D12:G12"/>
    <mergeCell ref="D14:G14"/>
    <mergeCell ref="D17:G17"/>
    <mergeCell ref="D21:G21"/>
    <mergeCell ref="H70:I70"/>
    <mergeCell ref="D47:G47"/>
    <mergeCell ref="D49:G49"/>
    <mergeCell ref="D57:G57"/>
    <mergeCell ref="D59:G59"/>
    <mergeCell ref="D23:G23"/>
    <mergeCell ref="D29:G29"/>
    <mergeCell ref="D34:G34"/>
    <mergeCell ref="D36:G36"/>
    <mergeCell ref="D39:G39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G25" sqref="G25:H25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95" t="s">
        <v>208</v>
      </c>
      <c r="B1" s="96"/>
      <c r="C1" s="96"/>
      <c r="D1" s="96"/>
      <c r="E1" s="96"/>
      <c r="F1" s="96"/>
      <c r="G1" s="96"/>
      <c r="H1" s="96"/>
      <c r="I1" s="96"/>
    </row>
    <row r="2" spans="1:10" ht="12.75">
      <c r="A2" s="67" t="s">
        <v>1</v>
      </c>
      <c r="B2" s="54"/>
      <c r="C2" s="64" t="s">
        <v>105</v>
      </c>
      <c r="D2" s="94"/>
      <c r="E2" s="53" t="s">
        <v>185</v>
      </c>
      <c r="F2" s="53" t="s">
        <v>190</v>
      </c>
      <c r="G2" s="54"/>
      <c r="H2" s="53" t="s">
        <v>239</v>
      </c>
      <c r="I2" s="89"/>
      <c r="J2" s="7"/>
    </row>
    <row r="3" spans="1:10" ht="12.75">
      <c r="A3" s="68"/>
      <c r="B3" s="55"/>
      <c r="C3" s="47"/>
      <c r="D3" s="47"/>
      <c r="E3" s="55"/>
      <c r="F3" s="55"/>
      <c r="G3" s="55"/>
      <c r="H3" s="55"/>
      <c r="I3" s="60"/>
      <c r="J3" s="7"/>
    </row>
    <row r="4" spans="1:10" ht="12.75">
      <c r="A4" s="62" t="s">
        <v>2</v>
      </c>
      <c r="B4" s="55"/>
      <c r="C4" s="58" t="s">
        <v>106</v>
      </c>
      <c r="D4" s="55"/>
      <c r="E4" s="58" t="s">
        <v>186</v>
      </c>
      <c r="F4" s="58"/>
      <c r="G4" s="55"/>
      <c r="H4" s="58" t="s">
        <v>239</v>
      </c>
      <c r="I4" s="90"/>
      <c r="J4" s="7"/>
    </row>
    <row r="5" spans="1:10" ht="12.75">
      <c r="A5" s="68"/>
      <c r="B5" s="55"/>
      <c r="C5" s="55"/>
      <c r="D5" s="55"/>
      <c r="E5" s="55"/>
      <c r="F5" s="55"/>
      <c r="G5" s="55"/>
      <c r="H5" s="55"/>
      <c r="I5" s="60"/>
      <c r="J5" s="7"/>
    </row>
    <row r="6" spans="1:10" ht="12.75">
      <c r="A6" s="62" t="s">
        <v>3</v>
      </c>
      <c r="B6" s="55"/>
      <c r="C6" s="58" t="s">
        <v>107</v>
      </c>
      <c r="D6" s="55"/>
      <c r="E6" s="58" t="s">
        <v>187</v>
      </c>
      <c r="F6" s="58" t="s">
        <v>191</v>
      </c>
      <c r="G6" s="55"/>
      <c r="H6" s="58" t="s">
        <v>239</v>
      </c>
      <c r="I6" s="90"/>
      <c r="J6" s="7"/>
    </row>
    <row r="7" spans="1:10" ht="12.75">
      <c r="A7" s="68"/>
      <c r="B7" s="55"/>
      <c r="C7" s="55"/>
      <c r="D7" s="55"/>
      <c r="E7" s="55"/>
      <c r="F7" s="55"/>
      <c r="G7" s="55"/>
      <c r="H7" s="55"/>
      <c r="I7" s="60"/>
      <c r="J7" s="7"/>
    </row>
    <row r="8" spans="1:10" ht="12.75">
      <c r="A8" s="62" t="s">
        <v>168</v>
      </c>
      <c r="B8" s="55"/>
      <c r="C8" s="56"/>
      <c r="D8" s="55"/>
      <c r="E8" s="58" t="s">
        <v>169</v>
      </c>
      <c r="F8" s="55"/>
      <c r="G8" s="55"/>
      <c r="H8" s="58" t="s">
        <v>240</v>
      </c>
      <c r="I8" s="90" t="s">
        <v>50</v>
      </c>
      <c r="J8" s="7"/>
    </row>
    <row r="9" spans="1:10" ht="12.75">
      <c r="A9" s="68"/>
      <c r="B9" s="55"/>
      <c r="C9" s="55"/>
      <c r="D9" s="55"/>
      <c r="E9" s="55"/>
      <c r="F9" s="55"/>
      <c r="G9" s="55"/>
      <c r="H9" s="55"/>
      <c r="I9" s="60"/>
      <c r="J9" s="7"/>
    </row>
    <row r="10" spans="1:10" ht="12.75">
      <c r="A10" s="62" t="s">
        <v>4</v>
      </c>
      <c r="B10" s="55"/>
      <c r="C10" s="58"/>
      <c r="D10" s="55"/>
      <c r="E10" s="58" t="s">
        <v>188</v>
      </c>
      <c r="F10" s="58"/>
      <c r="G10" s="55"/>
      <c r="H10" s="58" t="s">
        <v>241</v>
      </c>
      <c r="I10" s="91"/>
      <c r="J10" s="7"/>
    </row>
    <row r="11" spans="1:10" ht="12.75">
      <c r="A11" s="93"/>
      <c r="B11" s="88"/>
      <c r="C11" s="88"/>
      <c r="D11" s="88"/>
      <c r="E11" s="88"/>
      <c r="F11" s="88"/>
      <c r="G11" s="88"/>
      <c r="H11" s="88"/>
      <c r="I11" s="92"/>
      <c r="J11" s="7"/>
    </row>
    <row r="12" spans="1:9" ht="23.25" customHeight="1">
      <c r="A12" s="84" t="s">
        <v>209</v>
      </c>
      <c r="B12" s="85"/>
      <c r="C12" s="85"/>
      <c r="D12" s="85"/>
      <c r="E12" s="85"/>
      <c r="F12" s="85"/>
      <c r="G12" s="85"/>
      <c r="H12" s="85"/>
      <c r="I12" s="85"/>
    </row>
    <row r="13" spans="1:10" ht="26.25" customHeight="1">
      <c r="A13" s="13" t="s">
        <v>210</v>
      </c>
      <c r="B13" s="86" t="s">
        <v>219</v>
      </c>
      <c r="C13" s="87"/>
      <c r="D13" s="13" t="s">
        <v>221</v>
      </c>
      <c r="E13" s="86" t="s">
        <v>227</v>
      </c>
      <c r="F13" s="87"/>
      <c r="G13" s="13" t="s">
        <v>228</v>
      </c>
      <c r="H13" s="86" t="s">
        <v>242</v>
      </c>
      <c r="I13" s="87"/>
      <c r="J13" s="7"/>
    </row>
    <row r="14" spans="1:10" ht="15" customHeight="1">
      <c r="A14" s="14" t="s">
        <v>211</v>
      </c>
      <c r="B14" s="18" t="s">
        <v>220</v>
      </c>
      <c r="C14" s="20">
        <f>SUM('Stavební rozpočet'!R12:R69)</f>
        <v>0</v>
      </c>
      <c r="D14" s="80" t="s">
        <v>222</v>
      </c>
      <c r="E14" s="81"/>
      <c r="F14" s="20">
        <v>0</v>
      </c>
      <c r="G14" s="80" t="s">
        <v>229</v>
      </c>
      <c r="H14" s="81"/>
      <c r="I14" s="20">
        <f>ROUND(C22*(3/100),2)</f>
        <v>0</v>
      </c>
      <c r="J14" s="7"/>
    </row>
    <row r="15" spans="1:10" ht="15" customHeight="1">
      <c r="A15" s="15"/>
      <c r="B15" s="18" t="s">
        <v>189</v>
      </c>
      <c r="C15" s="20">
        <f>SUM('Stavební rozpočet'!S12:S69)</f>
        <v>0</v>
      </c>
      <c r="D15" s="80" t="s">
        <v>223</v>
      </c>
      <c r="E15" s="81"/>
      <c r="F15" s="20">
        <v>0</v>
      </c>
      <c r="G15" s="80" t="s">
        <v>230</v>
      </c>
      <c r="H15" s="81"/>
      <c r="I15" s="20">
        <v>0</v>
      </c>
      <c r="J15" s="7"/>
    </row>
    <row r="16" spans="1:10" ht="15" customHeight="1">
      <c r="A16" s="14" t="s">
        <v>212</v>
      </c>
      <c r="B16" s="18" t="s">
        <v>220</v>
      </c>
      <c r="C16" s="20">
        <f>SUM('Stavební rozpočet'!T12:T69)</f>
        <v>0</v>
      </c>
      <c r="D16" s="80" t="s">
        <v>224</v>
      </c>
      <c r="E16" s="81"/>
      <c r="F16" s="20">
        <v>0</v>
      </c>
      <c r="G16" s="80" t="s">
        <v>231</v>
      </c>
      <c r="H16" s="81"/>
      <c r="I16" s="20">
        <v>0</v>
      </c>
      <c r="J16" s="7"/>
    </row>
    <row r="17" spans="1:10" ht="15" customHeight="1">
      <c r="A17" s="15"/>
      <c r="B17" s="18" t="s">
        <v>189</v>
      </c>
      <c r="C17" s="20">
        <f>SUM('Stavební rozpočet'!U12:U69)</f>
        <v>0</v>
      </c>
      <c r="D17" s="80"/>
      <c r="E17" s="81"/>
      <c r="F17" s="21"/>
      <c r="G17" s="80" t="s">
        <v>232</v>
      </c>
      <c r="H17" s="81"/>
      <c r="I17" s="20">
        <v>0</v>
      </c>
      <c r="J17" s="7"/>
    </row>
    <row r="18" spans="1:10" ht="15" customHeight="1">
      <c r="A18" s="14" t="s">
        <v>213</v>
      </c>
      <c r="B18" s="18" t="s">
        <v>220</v>
      </c>
      <c r="C18" s="20">
        <f>SUM('Stavební rozpočet'!V12:V69)</f>
        <v>0</v>
      </c>
      <c r="D18" s="80"/>
      <c r="E18" s="81"/>
      <c r="F18" s="21"/>
      <c r="G18" s="80" t="s">
        <v>233</v>
      </c>
      <c r="H18" s="81"/>
      <c r="I18" s="20">
        <v>0</v>
      </c>
      <c r="J18" s="7"/>
    </row>
    <row r="19" spans="1:10" ht="15" customHeight="1">
      <c r="A19" s="15"/>
      <c r="B19" s="18" t="s">
        <v>189</v>
      </c>
      <c r="C19" s="20">
        <f>SUM('Stavební rozpočet'!W12:W69)</f>
        <v>0</v>
      </c>
      <c r="D19" s="80"/>
      <c r="E19" s="81"/>
      <c r="F19" s="21"/>
      <c r="G19" s="80" t="s">
        <v>234</v>
      </c>
      <c r="H19" s="81"/>
      <c r="I19" s="20">
        <v>0</v>
      </c>
      <c r="J19" s="7"/>
    </row>
    <row r="20" spans="1:10" ht="15" customHeight="1">
      <c r="A20" s="82" t="s">
        <v>156</v>
      </c>
      <c r="B20" s="83"/>
      <c r="C20" s="20">
        <f>SUM('Stavební rozpočet'!X12:X69)</f>
        <v>0</v>
      </c>
      <c r="D20" s="80"/>
      <c r="E20" s="81"/>
      <c r="F20" s="21"/>
      <c r="G20" s="80"/>
      <c r="H20" s="81"/>
      <c r="I20" s="21"/>
      <c r="J20" s="7"/>
    </row>
    <row r="21" spans="1:10" ht="15" customHeight="1">
      <c r="A21" s="82" t="s">
        <v>214</v>
      </c>
      <c r="B21" s="83"/>
      <c r="C21" s="20">
        <f>SUM('Stavební rozpočet'!P12:P69)</f>
        <v>0</v>
      </c>
      <c r="D21" s="80"/>
      <c r="E21" s="81"/>
      <c r="F21" s="21"/>
      <c r="G21" s="80"/>
      <c r="H21" s="81"/>
      <c r="I21" s="21"/>
      <c r="J21" s="7"/>
    </row>
    <row r="22" spans="1:10" ht="16.5" customHeight="1">
      <c r="A22" s="82" t="s">
        <v>215</v>
      </c>
      <c r="B22" s="83"/>
      <c r="C22" s="20">
        <f>SUM(C14:C21)</f>
        <v>0</v>
      </c>
      <c r="D22" s="82" t="s">
        <v>225</v>
      </c>
      <c r="E22" s="83"/>
      <c r="F22" s="20">
        <f>SUM(F14:F21)</f>
        <v>0</v>
      </c>
      <c r="G22" s="82" t="s">
        <v>235</v>
      </c>
      <c r="H22" s="83"/>
      <c r="I22" s="20">
        <f>SUM(I14:I21)</f>
        <v>0</v>
      </c>
      <c r="J22" s="7"/>
    </row>
    <row r="23" spans="1:9" ht="12.75">
      <c r="A23" s="16"/>
      <c r="B23" s="16"/>
      <c r="C23" s="16"/>
      <c r="D23" s="2"/>
      <c r="E23" s="2"/>
      <c r="F23" s="2"/>
      <c r="G23" s="2"/>
      <c r="H23" s="2"/>
      <c r="I23" s="2"/>
    </row>
    <row r="24" spans="1:9" ht="15" customHeight="1">
      <c r="A24" s="78" t="s">
        <v>216</v>
      </c>
      <c r="B24" s="79"/>
      <c r="C24" s="22">
        <f>SUM('Stavební rozpočet'!Z12:Z69)</f>
        <v>0</v>
      </c>
      <c r="D24" s="19"/>
      <c r="E24" s="12"/>
      <c r="F24" s="12"/>
      <c r="G24" s="12"/>
      <c r="H24" s="12"/>
      <c r="I24" s="12"/>
    </row>
    <row r="25" spans="1:10" ht="15" customHeight="1">
      <c r="A25" s="78" t="s">
        <v>244</v>
      </c>
      <c r="B25" s="79"/>
      <c r="C25" s="22">
        <f>SUM('Stavební rozpočet'!AA12:AA69)</f>
        <v>0</v>
      </c>
      <c r="D25" s="78" t="s">
        <v>245</v>
      </c>
      <c r="E25" s="79"/>
      <c r="F25" s="22">
        <f>ROUND(C25*(10/100),2)</f>
        <v>0</v>
      </c>
      <c r="G25" s="78" t="s">
        <v>236</v>
      </c>
      <c r="H25" s="79"/>
      <c r="I25" s="22">
        <f>SUM(C24:C26)</f>
        <v>0</v>
      </c>
      <c r="J25" s="7"/>
    </row>
    <row r="26" spans="1:10" ht="15" customHeight="1">
      <c r="A26" s="78" t="s">
        <v>216</v>
      </c>
      <c r="B26" s="79"/>
      <c r="C26" s="22">
        <f>SUM('Stavební rozpočet'!AB12:AB69)+(F22+I22)</f>
        <v>0</v>
      </c>
      <c r="D26" s="78" t="s">
        <v>243</v>
      </c>
      <c r="E26" s="79"/>
      <c r="F26" s="22">
        <f>ROUND(C26*(20/100),2)</f>
        <v>0</v>
      </c>
      <c r="G26" s="78" t="s">
        <v>237</v>
      </c>
      <c r="H26" s="79"/>
      <c r="I26" s="22">
        <f>SUM(F25:F26)+I25</f>
        <v>0</v>
      </c>
      <c r="J26" s="7"/>
    </row>
    <row r="27" spans="1:9" ht="12.75">
      <c r="A27" s="17"/>
      <c r="B27" s="17"/>
      <c r="C27" s="17"/>
      <c r="D27" s="17"/>
      <c r="E27" s="17"/>
      <c r="F27" s="17"/>
      <c r="G27" s="17"/>
      <c r="H27" s="17"/>
      <c r="I27" s="17"/>
    </row>
    <row r="28" spans="1:10" ht="14.25" customHeight="1">
      <c r="A28" s="72" t="s">
        <v>217</v>
      </c>
      <c r="B28" s="73"/>
      <c r="C28" s="74"/>
      <c r="D28" s="72" t="s">
        <v>226</v>
      </c>
      <c r="E28" s="73"/>
      <c r="F28" s="74"/>
      <c r="G28" s="72" t="s">
        <v>238</v>
      </c>
      <c r="H28" s="73"/>
      <c r="I28" s="74"/>
      <c r="J28" s="8"/>
    </row>
    <row r="29" spans="1:10" ht="14.25" customHeight="1">
      <c r="A29" s="75"/>
      <c r="B29" s="76"/>
      <c r="C29" s="77"/>
      <c r="D29" s="75"/>
      <c r="E29" s="76"/>
      <c r="F29" s="77"/>
      <c r="G29" s="75"/>
      <c r="H29" s="76"/>
      <c r="I29" s="77"/>
      <c r="J29" s="8"/>
    </row>
    <row r="30" spans="1:10" ht="14.25" customHeight="1">
      <c r="A30" s="75"/>
      <c r="B30" s="76"/>
      <c r="C30" s="77"/>
      <c r="D30" s="75"/>
      <c r="E30" s="76"/>
      <c r="F30" s="77"/>
      <c r="G30" s="75"/>
      <c r="H30" s="76"/>
      <c r="I30" s="77"/>
      <c r="J30" s="8"/>
    </row>
    <row r="31" spans="1:10" ht="14.25" customHeight="1" thickBot="1">
      <c r="A31" s="75"/>
      <c r="B31" s="76"/>
      <c r="C31" s="77"/>
      <c r="D31" s="75"/>
      <c r="E31" s="76"/>
      <c r="F31" s="77"/>
      <c r="G31" s="75"/>
      <c r="H31" s="76"/>
      <c r="I31" s="77"/>
      <c r="J31" s="8"/>
    </row>
    <row r="32" spans="1:10" ht="14.25" customHeight="1" thickBot="1">
      <c r="A32" s="69" t="s">
        <v>218</v>
      </c>
      <c r="B32" s="70"/>
      <c r="C32" s="71"/>
      <c r="D32" s="69" t="s">
        <v>218</v>
      </c>
      <c r="E32" s="70"/>
      <c r="F32" s="71"/>
      <c r="G32" s="69" t="s">
        <v>218</v>
      </c>
      <c r="H32" s="70"/>
      <c r="I32" s="71"/>
      <c r="J32" s="8"/>
    </row>
    <row r="33" spans="1:9" ht="12.7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2.75">
      <c r="A34" s="45"/>
      <c r="B34" s="45"/>
      <c r="C34" s="45"/>
      <c r="D34" s="45"/>
      <c r="E34" s="45"/>
      <c r="F34" s="45"/>
      <c r="G34" s="45"/>
      <c r="H34" s="45"/>
      <c r="I34" s="45"/>
    </row>
    <row r="35" spans="1:9" ht="12.75">
      <c r="A35" s="45"/>
      <c r="B35" s="45"/>
      <c r="C35" s="45"/>
      <c r="D35" s="45"/>
      <c r="E35" s="45"/>
      <c r="F35" s="45"/>
      <c r="G35" s="45"/>
      <c r="H35" s="45"/>
      <c r="I35" s="45"/>
    </row>
  </sheetData>
  <sheetProtection/>
  <mergeCells count="78"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  <mergeCell ref="A8:B9"/>
    <mergeCell ref="A10:B11"/>
    <mergeCell ref="C2:D3"/>
    <mergeCell ref="C4:D5"/>
    <mergeCell ref="C6:D7"/>
    <mergeCell ref="C8:D9"/>
    <mergeCell ref="C10:D11"/>
    <mergeCell ref="E8:E9"/>
    <mergeCell ref="E10:E11"/>
    <mergeCell ref="F2:G3"/>
    <mergeCell ref="F4:G5"/>
    <mergeCell ref="F6:G7"/>
    <mergeCell ref="F8:G9"/>
    <mergeCell ref="F10:G11"/>
    <mergeCell ref="G17:H17"/>
    <mergeCell ref="H8:H9"/>
    <mergeCell ref="H10:H11"/>
    <mergeCell ref="I2:I3"/>
    <mergeCell ref="I4:I5"/>
    <mergeCell ref="I6:I7"/>
    <mergeCell ref="I8:I9"/>
    <mergeCell ref="I10:I11"/>
    <mergeCell ref="D22:E22"/>
    <mergeCell ref="A12:I12"/>
    <mergeCell ref="B13:C13"/>
    <mergeCell ref="E13:F13"/>
    <mergeCell ref="H13:I13"/>
    <mergeCell ref="A20:B20"/>
    <mergeCell ref="A21:B21"/>
    <mergeCell ref="G14:H14"/>
    <mergeCell ref="G15:H15"/>
    <mergeCell ref="G16:H16"/>
    <mergeCell ref="A24:B24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G25:H25"/>
    <mergeCell ref="G26:H26"/>
    <mergeCell ref="G18:H18"/>
    <mergeCell ref="G19:H19"/>
    <mergeCell ref="G20:H20"/>
    <mergeCell ref="G21:H21"/>
    <mergeCell ref="G22:H22"/>
    <mergeCell ref="D32:F32"/>
    <mergeCell ref="A28:C28"/>
    <mergeCell ref="A29:C29"/>
    <mergeCell ref="A30:C30"/>
    <mergeCell ref="A31:C31"/>
    <mergeCell ref="A25:B25"/>
    <mergeCell ref="A26:B26"/>
    <mergeCell ref="D25:E25"/>
    <mergeCell ref="D26:E26"/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2009-09-02T08:06:37Z</cp:lastPrinted>
  <dcterms:created xsi:type="dcterms:W3CDTF">2009-09-01T09:56:02Z</dcterms:created>
  <dcterms:modified xsi:type="dcterms:W3CDTF">2011-12-14T13:52:57Z</dcterms:modified>
  <cp:category/>
  <cp:version/>
  <cp:contentType/>
  <cp:contentStatus/>
</cp:coreProperties>
</file>